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howInkAnnotation="0"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ITAÇÕES\REGINÓPOLIS\TOMADA DE PREÇOS 2022\TP 007_22 CALÇADAS DE ACESSIBILIDADE\"/>
    </mc:Choice>
  </mc:AlternateContent>
  <xr:revisionPtr revIDLastSave="0" documentId="8_{33B21874-3952-4D85-B57C-56315DFAF7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ilha Quant." sheetId="6" r:id="rId1"/>
    <sheet name="RESUMO" sheetId="8" r:id="rId2"/>
  </sheets>
  <externalReferences>
    <externalReference r:id="rId3"/>
  </externalReferences>
  <definedNames>
    <definedName name="\0" localSheetId="1">[1]HABITAÇÃO!#REF!</definedName>
    <definedName name="\0">[1]HABITAÇÃO!#REF!</definedName>
    <definedName name="_xlnm._FilterDatabase" localSheetId="0" hidden="1">'Planilha Quant.'!$A$12:$H$88</definedName>
    <definedName name="_xlnm._FilterDatabase" localSheetId="1" hidden="1">RESUMO!$D$14:$D$27</definedName>
    <definedName name="ANDREA" localSheetId="1">[1]HABITAÇÃO!#REF!</definedName>
    <definedName name="ANDREA">[1]HABITAÇÃO!#REF!</definedName>
    <definedName name="_xlnm.Print_Area" localSheetId="0">'Planilha Quant.'!$A$1:$H$90</definedName>
    <definedName name="_xlnm.Print_Area" localSheetId="1">RESUMO!$A$1:$G$31</definedName>
    <definedName name="CORRIMÃO" hidden="1">{"'Armação'!$A$1:$A$2"}</definedName>
    <definedName name="corrrimao" hidden="1">{"'Armação'!$A$1:$A$2"}</definedName>
    <definedName name="D" localSheetId="1">[1]HABITAÇÃO!#REF!</definedName>
    <definedName name="D">[1]HABITAÇÃO!#REF!</definedName>
    <definedName name="DESNIVEL" hidden="1">{#N/A,#N/A,FALSE,"RESUMO-BB1";#N/A,#N/A,FALSE,"MOD-A01-R - BB1";#N/A,#N/A,FALSE,"URB-BB1"}</definedName>
    <definedName name="DESNIVEL_1" hidden="1">{#N/A,#N/A,FALSE,"RESUMO-BB1";#N/A,#N/A,FALSE,"MOD-A01-R - BB1";#N/A,#N/A,FALSE,"URB-BB1"}</definedName>
    <definedName name="Execução_completa_incluindo_a_elaboração_dos_Projetos_Estrutural__Hidráulico_e_Elétrico__Fundações_Profundas_e_Superficiais__Estrutura_em_Concreto__fck" localSheetId="0">'Planilha Quant.'!#REF!</definedName>
    <definedName name="Execução_completa_incluindo_a_elaboração_dos_Projetos_Estrutural__Hidráulico_e_Elétrico__Fundações_Profundas_e_Superficiais__Estrutura_em_Concreto__fck" localSheetId="1">RESUMO!#REF!</definedName>
    <definedName name="Execução_completa_incluindo_a_elaboração_dos_Projetos_Estrutural__Hidráulico_e_Elétrico__Fundações_Profundas_e_Superficiais__Estrutura_em_Concreto__fck">#REF!</definedName>
    <definedName name="HTML_CodePage" hidden="1">437</definedName>
    <definedName name="HTML_Control" hidden="1">{"'Armação'!$A$1:$A$2"}</definedName>
    <definedName name="HTML_Description" hidden="1">""</definedName>
    <definedName name="HTML_Email" hidden="1">""</definedName>
    <definedName name="HTML_Header" hidden="1">"Armação"</definedName>
    <definedName name="HTML_LastUpdate" hidden="1">"21/03/98"</definedName>
    <definedName name="HTML_LineAfter" hidden="1">FALSE</definedName>
    <definedName name="HTML_LineBefore" hidden="1">FALSE</definedName>
    <definedName name="HTML_Name" hidden="1">"Gustavo"</definedName>
    <definedName name="HTML_OBDlg2" hidden="1">TRUE</definedName>
    <definedName name="HTML_OBDlg4" hidden="1">TRUE</definedName>
    <definedName name="HTML_OS" hidden="1">0</definedName>
    <definedName name="HTML_PathFile" hidden="1">"C:\Meus Documentos\MeuHTML.htm"</definedName>
    <definedName name="HTML_Title" hidden="1">"Modêlo Tabela de Armação"</definedName>
    <definedName name="Publ.GTA" localSheetId="1">[1]HABITAÇÃO!#REF!</definedName>
    <definedName name="Publ.GTA">[1]HABITAÇÃO!#REF!</definedName>
    <definedName name="_xlnm.Print_Titles" localSheetId="0">'Planilha Quant.'!$1:$13</definedName>
    <definedName name="_xlnm.Print_Titles" localSheetId="1">RESUMO!$1:$13</definedName>
    <definedName name="wrn.BB1." hidden="1">{#N/A,#N/A,FALSE,"RESUMO-BB1";#N/A,#N/A,FALSE,"MOD-A01-R - BB1";#N/A,#N/A,FALSE,"URB-BB1"}</definedName>
    <definedName name="wrn.BB1._1" hidden="1">{#N/A,#N/A,FALSE,"RESUMO-BB1";#N/A,#N/A,FALSE,"MOD-A01-R - BB1";#N/A,#N/A,FALSE,"URB-BB1"}</definedName>
    <definedName name="wrn.BETER." hidden="1">{#N/A,#N/A,FALSE,"BETER -1";#N/A,#N/A,FALSE,"BETER -2";#N/A,#N/A,FALSE,"BETER -3";#N/A,#N/A,FALSE,"BETER -urb";#N/A,#N/A,FALSE,"BETER -RESUMO"}</definedName>
    <definedName name="wrn.BETER._1" hidden="1">{#N/A,#N/A,FALSE,"BETER -1";#N/A,#N/A,FALSE,"BETER -2";#N/A,#N/A,FALSE,"BETER -3";#N/A,#N/A,FALSE,"BETER -urb";#N/A,#N/A,FALSE,"BETER -RESUMO"}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" i="6" l="1"/>
  <c r="E51" i="6" l="1"/>
  <c r="E23" i="8"/>
  <c r="E21" i="8"/>
  <c r="E19" i="8"/>
  <c r="E17" i="8"/>
  <c r="E15" i="8"/>
  <c r="F29" i="8" l="1"/>
  <c r="E10" i="8"/>
  <c r="F7" i="8"/>
  <c r="C9" i="8"/>
  <c r="C8" i="8"/>
  <c r="C7" i="8"/>
  <c r="C14" i="8"/>
  <c r="D14" i="8"/>
  <c r="F14" i="8"/>
  <c r="G14" i="8"/>
  <c r="E35" i="6" l="1"/>
  <c r="E19" i="6"/>
  <c r="E52" i="6" l="1"/>
  <c r="E50" i="6"/>
  <c r="E48" i="6"/>
  <c r="E49" i="6" s="1"/>
  <c r="E43" i="6"/>
  <c r="E42" i="6" s="1"/>
  <c r="E41" i="6"/>
  <c r="E40" i="6"/>
  <c r="E39" i="6"/>
  <c r="E37" i="6"/>
  <c r="E27" i="6"/>
  <c r="F27" i="6" s="1"/>
  <c r="E25" i="6"/>
  <c r="F25" i="6" s="1"/>
  <c r="E24" i="6"/>
  <c r="F24" i="6" s="1"/>
  <c r="E23" i="6"/>
  <c r="F23" i="6" s="1"/>
  <c r="E21" i="6"/>
  <c r="F21" i="6" s="1"/>
  <c r="F42" i="6" l="1"/>
  <c r="H42" i="6" s="1"/>
  <c r="E26" i="6"/>
  <c r="H16" i="6"/>
  <c r="H17" i="6"/>
  <c r="F26" i="6" l="1"/>
  <c r="H26" i="6" s="1"/>
  <c r="E29" i="6"/>
  <c r="F29" i="6" s="1"/>
  <c r="H30" i="6"/>
  <c r="H32" i="6"/>
  <c r="H33" i="6"/>
  <c r="F39" i="6"/>
  <c r="F40" i="6"/>
  <c r="F41" i="6"/>
  <c r="F43" i="6"/>
  <c r="F53" i="6"/>
  <c r="F56" i="6"/>
  <c r="H57" i="6"/>
  <c r="E59" i="6"/>
  <c r="F61" i="6"/>
  <c r="F62" i="6"/>
  <c r="H62" i="6" s="1"/>
  <c r="H65" i="6"/>
  <c r="H66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G27" i="8"/>
  <c r="F27" i="8"/>
  <c r="D27" i="8"/>
  <c r="C27" i="8"/>
  <c r="G26" i="8"/>
  <c r="F26" i="8"/>
  <c r="D26" i="8"/>
  <c r="C26" i="8"/>
  <c r="G22" i="8"/>
  <c r="F22" i="8"/>
  <c r="D22" i="8"/>
  <c r="C22" i="8"/>
  <c r="G16" i="8"/>
  <c r="F16" i="8"/>
  <c r="D16" i="8"/>
  <c r="C16" i="8"/>
  <c r="E60" i="6" l="1"/>
  <c r="F60" i="6" s="1"/>
  <c r="H60" i="6" s="1"/>
  <c r="F35" i="6"/>
  <c r="H35" i="6" s="1"/>
  <c r="E44" i="6"/>
  <c r="E45" i="6"/>
  <c r="E36" i="6"/>
  <c r="E38" i="6" s="1"/>
  <c r="E28" i="6"/>
  <c r="F28" i="6" s="1"/>
  <c r="E20" i="6"/>
  <c r="F20" i="6" s="1"/>
  <c r="F59" i="6"/>
  <c r="H59" i="6" s="1"/>
  <c r="H61" i="6"/>
  <c r="H56" i="6"/>
  <c r="H55" i="6" s="1"/>
  <c r="H53" i="6"/>
  <c r="H21" i="6"/>
  <c r="H29" i="6"/>
  <c r="H39" i="6"/>
  <c r="H64" i="6"/>
  <c r="H41" i="6"/>
  <c r="H24" i="6"/>
  <c r="F19" i="6"/>
  <c r="H19" i="6" s="1"/>
  <c r="H27" i="6"/>
  <c r="H25" i="6"/>
  <c r="H23" i="6"/>
  <c r="F50" i="6"/>
  <c r="H50" i="6" s="1"/>
  <c r="F48" i="6"/>
  <c r="H48" i="6" s="1"/>
  <c r="F52" i="6"/>
  <c r="H52" i="6" s="1"/>
  <c r="F49" i="6"/>
  <c r="H49" i="6" s="1"/>
  <c r="H43" i="6"/>
  <c r="H40" i="6"/>
  <c r="F37" i="6"/>
  <c r="H37" i="6" s="1"/>
  <c r="G25" i="8" l="1"/>
  <c r="G21" i="8"/>
  <c r="F45" i="6"/>
  <c r="H45" i="6" s="1"/>
  <c r="F44" i="6"/>
  <c r="H44" i="6" s="1"/>
  <c r="E22" i="6"/>
  <c r="F22" i="6" s="1"/>
  <c r="H28" i="6"/>
  <c r="F51" i="6"/>
  <c r="H51" i="6" s="1"/>
  <c r="H47" i="6" s="1"/>
  <c r="F36" i="6"/>
  <c r="H36" i="6" s="1"/>
  <c r="H58" i="6"/>
  <c r="G23" i="8" s="1"/>
  <c r="H20" i="6"/>
  <c r="F38" i="6"/>
  <c r="H38" i="6" s="1"/>
  <c r="G19" i="8" l="1"/>
  <c r="H31" i="6"/>
  <c r="H22" i="6"/>
  <c r="H15" i="6" s="1"/>
  <c r="G17" i="8" l="1"/>
  <c r="G15" i="8"/>
  <c r="J15" i="6"/>
  <c r="H81" i="6"/>
  <c r="H82" i="6" s="1"/>
  <c r="G29" i="8" s="1"/>
  <c r="H14" i="6"/>
  <c r="H83" i="6" l="1"/>
  <c r="G28" i="8" l="1"/>
  <c r="G30" i="8" s="1"/>
</calcChain>
</file>

<file path=xl/sharedStrings.xml><?xml version="1.0" encoding="utf-8"?>
<sst xmlns="http://schemas.openxmlformats.org/spreadsheetml/2006/main" count="290" uniqueCount="154">
  <si>
    <t>KG</t>
  </si>
  <si>
    <t>M3</t>
  </si>
  <si>
    <t>M</t>
  </si>
  <si>
    <t>UN</t>
  </si>
  <si>
    <t>M2</t>
  </si>
  <si>
    <t>Item</t>
  </si>
  <si>
    <t>Código</t>
  </si>
  <si>
    <t>DISCRIMINAÇÃO</t>
  </si>
  <si>
    <t>Unid.</t>
  </si>
  <si>
    <t>Quant.</t>
  </si>
  <si>
    <t>Vr. Unit. R$
Estimado</t>
  </si>
  <si>
    <t>TOTAL R$ 
ESTIMADO</t>
  </si>
  <si>
    <t>01.23.070</t>
  </si>
  <si>
    <t>Demarcação de área com disco de corte diamantado</t>
  </si>
  <si>
    <t>03.01.020</t>
  </si>
  <si>
    <t>Demolição manual de concreto simples</t>
  </si>
  <si>
    <t>03.01.040</t>
  </si>
  <si>
    <t>Demolição manual de concreto armado</t>
  </si>
  <si>
    <t>03.01.200</t>
  </si>
  <si>
    <t>Demolição mecanizada de concreto armado,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</si>
  <si>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</si>
  <si>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</si>
  <si>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</si>
  <si>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 quilômetro e descarregamento</t>
  </si>
  <si>
    <t>03.03.020</t>
  </si>
  <si>
    <t>Apicoamento manual de piso, parede ou teto</t>
  </si>
  <si>
    <t>03.06.060</t>
  </si>
  <si>
    <t>Desmonte (levantamento) mecanizado de pavimento em paralelepípedo ou lajota de concreto, inclusive acomodação do material</t>
  </si>
  <si>
    <t>03.07.050</t>
  </si>
  <si>
    <t>Fresagem de pavimento asfáltico com espessura até 5 cm, inclusive carregamento, transporte até 1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</si>
  <si>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</si>
  <si>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</si>
  <si>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</si>
  <si>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</si>
  <si>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03.16.010</t>
  </si>
  <si>
    <t>Remoção de sinalização horizontal existente</t>
  </si>
  <si>
    <t>03.16.011</t>
  </si>
  <si>
    <t>Remoção de tacha/tachões</t>
  </si>
  <si>
    <t>04.40.010</t>
  </si>
  <si>
    <t>Retirada manual de guia pré-moldada, inclusive limpeza, carregamento, transporte até 1 quilômetro e descarregamento</t>
  </si>
  <si>
    <t>05.07.040</t>
  </si>
  <si>
    <t>Remoção de entulho separado de obra com caçamba metálica - terra, alvenaria, concreto, argamassa, madeira, papel, plástico ou metal</t>
  </si>
  <si>
    <t>06.02.020</t>
  </si>
  <si>
    <t>Escavação manual em solo de 1ª e 2ª categoria em vala ou cava até 1,5 m</t>
  </si>
  <si>
    <t>10.02.020</t>
  </si>
  <si>
    <t>Armadura em tela soldada de aço</t>
  </si>
  <si>
    <t>11.18.040</t>
  </si>
  <si>
    <t>Lastro de pedra britada</t>
  </si>
  <si>
    <t>17.01.060</t>
  </si>
  <si>
    <t>Regularização de piso com nata de cimento e bianco</t>
  </si>
  <si>
    <t>17.03.020</t>
  </si>
  <si>
    <t>Cimentado desempenado</t>
  </si>
  <si>
    <t>DATA BASE: NOVEMBRO/21</t>
  </si>
  <si>
    <t>RAMPA</t>
  </si>
  <si>
    <t>m</t>
  </si>
  <si>
    <t xml:space="preserve">UN </t>
  </si>
  <si>
    <t>Quant. Unit.</t>
  </si>
  <si>
    <t>largura</t>
  </si>
  <si>
    <t>comprimento</t>
  </si>
  <si>
    <t>CALÇADA</t>
  </si>
  <si>
    <t>TIPO 2 - RAMPA CENTRAL 5,70x1,05 M</t>
  </si>
  <si>
    <t>TIPO 1 - RAMPA DE ESQUINA</t>
  </si>
  <si>
    <t>comprimento da curva</t>
  </si>
  <si>
    <t>PISO PODOTÁTIL 30x30cm SOBRE CONCRETO NOVO</t>
  </si>
  <si>
    <t>PISO PODOTÁTIL 30x30cm SOBRE CONCRETO EXISTENTE</t>
  </si>
  <si>
    <t>DEMOLIÇÃO/RETIRADA - AFERIR NO LOCAL</t>
  </si>
  <si>
    <t xml:space="preserve"> </t>
  </si>
  <si>
    <t>30.04.032</t>
  </si>
  <si>
    <t>Piso em ladrilho hidráulico podotátil várias cores (30x30cm), assentado com argamassa mista</t>
  </si>
  <si>
    <t>Total</t>
  </si>
  <si>
    <t>BDI</t>
  </si>
  <si>
    <t>Subtotal</t>
  </si>
  <si>
    <t>PROGRAMA - SDR:</t>
  </si>
  <si>
    <t xml:space="preserve">MUNICIPIO </t>
  </si>
  <si>
    <t>EM PAPEL TIMBRADO</t>
  </si>
  <si>
    <t>PLANILHA ORÇAMENTÁRIA</t>
  </si>
  <si>
    <t>DEMANDA Nº:</t>
  </si>
  <si>
    <t>%</t>
  </si>
  <si>
    <t>LOCAL DA OBRA:</t>
  </si>
  <si>
    <t>área</t>
  </si>
  <si>
    <t>54.20.100</t>
  </si>
  <si>
    <t>Reassentamento de guia pré-moldada reta e/ou curva</t>
  </si>
  <si>
    <t>BDI  %</t>
  </si>
  <si>
    <t>04.40.030</t>
  </si>
  <si>
    <t>Retirada manual de guia pré-moldada, inclusive limpeza e empilhamento</t>
  </si>
  <si>
    <t>1.0</t>
  </si>
  <si>
    <t>1.1</t>
  </si>
  <si>
    <t>2.2</t>
  </si>
  <si>
    <t>3.3</t>
  </si>
  <si>
    <t>1.2</t>
  </si>
  <si>
    <t>6.0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</si>
  <si>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</si>
  <si>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</si>
  <si>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</si>
  <si>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</si>
  <si>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</si>
  <si>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</si>
  <si>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</si>
  <si>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</si>
  <si>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</si>
  <si>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2.0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</si>
  <si>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</si>
  <si>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</si>
  <si>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</si>
  <si>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</si>
  <si>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</si>
  <si>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</si>
  <si>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</si>
  <si>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</si>
  <si>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</si>
  <si>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3.0</t>
  </si>
  <si>
    <t>3.1</t>
  </si>
  <si>
    <t>3.2</t>
  </si>
  <si>
    <t>3.4</t>
  </si>
  <si>
    <t>3.5</t>
  </si>
  <si>
    <t>3.6</t>
  </si>
  <si>
    <t>4.0</t>
  </si>
  <si>
    <t>5.0</t>
  </si>
  <si>
    <t>4.1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</si>
  <si>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</si>
  <si>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</si>
  <si>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</si>
  <si>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</si>
  <si>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</si>
  <si>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</si>
  <si>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</si>
  <si>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</si>
  <si>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</si>
  <si>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</si>
  <si>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</si>
  <si>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</si>
  <si>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</si>
  <si>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</si>
  <si>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</si>
  <si>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</si>
  <si>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</si>
  <si>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</si>
  <si>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</si>
  <si>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54.06.110</t>
  </si>
  <si>
    <t>Base em concreto com fck de 25 MPa, para guias, sarjetas ou sarjetões</t>
  </si>
  <si>
    <t>17.05.100</t>
  </si>
  <si>
    <t>Piso com requadro em concreto simples com controle de fck= 25 MPa</t>
  </si>
  <si>
    <t>03.01.220</t>
  </si>
  <si>
    <t>Demolição mecanizada de concreto simples, inclusive fragmentação, carregamento, transporte até 1 quilômetro e descarregamento</t>
  </si>
  <si>
    <t>2.11</t>
  </si>
  <si>
    <t>m2</t>
  </si>
  <si>
    <t xml:space="preserve">DEMOLIÇÃO/RETIRADA </t>
  </si>
  <si>
    <t>DATA BASE: MARÇO/22</t>
  </si>
  <si>
    <t>REFERÊCIA: CDHU BOLETIM 185 COM DESONERAÇÃO</t>
  </si>
  <si>
    <t>CALÇADAS ACESSÍVEIS</t>
  </si>
  <si>
    <t xml:space="preserve">TIPO 2 - RAMPA CENTRAL </t>
  </si>
  <si>
    <t>REGINOPOLIS</t>
  </si>
  <si>
    <t>RUA JOSÉ RABELLO s/n°, RUA ANTONIO SPURI s/n°, RUA VADILDE GONÇALVES GARCIA s/n°, AV. PADRE ANCHIETA n°441</t>
  </si>
  <si>
    <t>ANEXO VIII - PLANILHA ORÇAMENTÁRIA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</si>
</sst>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0000"/>
    <numFmt numFmtId="166" formatCode="_ * #,##0.00_ ;_ * \-#,##0.00_ ;_ * &quot;-&quot;??_ ;_ @_ "/>
    <numFmt numFmtId="167" formatCode="#,#00"/>
    <numFmt numFmtId="168" formatCode="_ &quot;R$&quot;\ * #,##0.00_ ;_ &quot;R$&quot;\ * \-#,##0.00_ ;_ &quot;R$&quot;\ * &quot;-&quot;??_ ;_ @_ "/>
    <numFmt numFmtId="169" formatCode="%#,#00"/>
    <numFmt numFmtId="170" formatCode="#.##000"/>
    <numFmt numFmtId="171" formatCode="#,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"/>
      <color indexed="8"/>
      <name val="Courier"/>
      <family val="3"/>
    </font>
    <font>
      <sz val="11"/>
      <color indexed="8"/>
      <name val="Calibri"/>
      <family val="2"/>
      <scheme val="minor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mediumGray">
        <fgColor theme="0"/>
        <bgColor theme="0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7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 applyBorder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 applyBorder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 applyBorder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4" fillId="0" borderId="0">
      <protection locked="0"/>
    </xf>
    <xf numFmtId="167" fontId="14" fillId="0" borderId="0">
      <protection locked="0"/>
    </xf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4" borderId="10" applyNumberFormat="0" applyFont="0" applyAlignment="0" applyProtection="0"/>
    <xf numFmtId="169" fontId="14" fillId="0" borderId="0">
      <protection locked="0"/>
    </xf>
    <xf numFmtId="170" fontId="14" fillId="0" borderId="0">
      <protection locked="0"/>
    </xf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6" fillId="0" borderId="0">
      <protection locked="0"/>
    </xf>
    <xf numFmtId="171" fontId="16" fillId="0" borderId="0">
      <protection locked="0"/>
    </xf>
    <xf numFmtId="166" fontId="3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/>
    <xf numFmtId="0" fontId="11" fillId="0" borderId="0">
      <alignment vertical="top"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5">
    <xf numFmtId="0" fontId="0" fillId="0" borderId="0" xfId="0"/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165" fontId="6" fillId="0" borderId="0" xfId="0" applyNumberFormat="1" applyFont="1" applyFill="1" applyBorder="1" applyAlignment="1" applyProtection="1">
      <alignment horizontal="left" vertical="center"/>
      <protection locked="0"/>
    </xf>
    <xf numFmtId="164" fontId="6" fillId="0" borderId="0" xfId="2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165" fontId="6" fillId="2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2" applyFont="1" applyFill="1" applyBorder="1" applyAlignment="1" applyProtection="1">
      <alignment horizontal="left" vertical="center" wrapText="1" indent="1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164" fontId="8" fillId="3" borderId="8" xfId="2" applyFont="1" applyFill="1" applyBorder="1" applyAlignment="1" applyProtection="1">
      <alignment horizontal="left" vertical="center" wrapText="1" indent="1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164" fontId="7" fillId="0" borderId="8" xfId="2" applyFont="1" applyFill="1" applyBorder="1" applyAlignment="1" applyProtection="1">
      <alignment horizontal="left" vertical="center" wrapText="1" indent="1"/>
      <protection locked="0"/>
    </xf>
    <xf numFmtId="164" fontId="5" fillId="0" borderId="8" xfId="2" applyFont="1" applyFill="1" applyBorder="1" applyAlignment="1" applyProtection="1">
      <alignment horizontal="left" vertical="center" wrapText="1" indent="1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8" xfId="2" applyFont="1" applyFill="1" applyBorder="1" applyAlignment="1" applyProtection="1">
      <alignment horizontal="left" vertical="center" wrapText="1" indent="1"/>
      <protection locked="0"/>
    </xf>
    <xf numFmtId="49" fontId="20" fillId="0" borderId="8" xfId="0" applyNumberFormat="1" applyFont="1" applyFill="1" applyBorder="1" applyAlignment="1" applyProtection="1">
      <alignment horizontal="center" vertical="center"/>
      <protection locked="0"/>
    </xf>
    <xf numFmtId="164" fontId="21" fillId="0" borderId="8" xfId="2" applyFont="1" applyFill="1" applyBorder="1" applyAlignment="1" applyProtection="1">
      <alignment horizontal="left" vertical="center" wrapText="1" indent="1"/>
      <protection locked="0"/>
    </xf>
    <xf numFmtId="164" fontId="8" fillId="0" borderId="8" xfId="2" applyFont="1" applyFill="1" applyBorder="1" applyAlignment="1" applyProtection="1">
      <alignment horizontal="left" vertical="center" wrapText="1" indent="1"/>
      <protection locked="0"/>
    </xf>
    <xf numFmtId="49" fontId="5" fillId="0" borderId="22" xfId="0" applyNumberFormat="1" applyFont="1" applyBorder="1" applyAlignment="1" applyProtection="1">
      <alignment horizontal="left" vertical="center" indent="1"/>
      <protection locked="0"/>
    </xf>
    <xf numFmtId="49" fontId="8" fillId="0" borderId="24" xfId="0" applyNumberFormat="1" applyFont="1" applyBorder="1" applyAlignment="1" applyProtection="1">
      <alignment horizontal="left" vertical="center" indent="1"/>
      <protection locked="0"/>
    </xf>
    <xf numFmtId="49" fontId="7" fillId="0" borderId="24" xfId="0" applyNumberFormat="1" applyFont="1" applyBorder="1" applyAlignment="1" applyProtection="1">
      <alignment horizontal="left" vertical="center" indent="1"/>
      <protection locked="0"/>
    </xf>
    <xf numFmtId="49" fontId="5" fillId="0" borderId="24" xfId="0" applyNumberFormat="1" applyFont="1" applyBorder="1" applyAlignment="1" applyProtection="1">
      <alignment horizontal="left" vertical="center" indent="1"/>
      <protection locked="0"/>
    </xf>
    <xf numFmtId="49" fontId="20" fillId="0" borderId="24" xfId="0" applyNumberFormat="1" applyFont="1" applyBorder="1" applyAlignment="1" applyProtection="1">
      <alignment horizontal="left" vertical="center" indent="1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6" fillId="5" borderId="0" xfId="2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wrapText="1"/>
      <protection locked="0"/>
    </xf>
    <xf numFmtId="0" fontId="3" fillId="0" borderId="0" xfId="0" applyFont="1" applyBorder="1" applyProtection="1"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6" fillId="0" borderId="0" xfId="2" applyFont="1" applyBorder="1" applyAlignment="1" applyProtection="1">
      <alignment horizontal="center"/>
      <protection locked="0"/>
    </xf>
    <xf numFmtId="164" fontId="6" fillId="0" borderId="0" xfId="2" applyFon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3" fillId="0" borderId="0" xfId="2" applyFont="1" applyBorder="1" applyAlignment="1" applyProtection="1">
      <alignment horizontal="center"/>
      <protection locked="0"/>
    </xf>
    <xf numFmtId="164" fontId="3" fillId="0" borderId="0" xfId="2" applyFont="1" applyBorder="1" applyProtection="1">
      <protection locked="0"/>
    </xf>
    <xf numFmtId="0" fontId="6" fillId="0" borderId="0" xfId="0" applyFont="1" applyBorder="1" applyAlignment="1" applyProtection="1">
      <alignment horizontal="left" vertical="center" indent="2"/>
      <protection locked="0"/>
    </xf>
    <xf numFmtId="0" fontId="6" fillId="0" borderId="0" xfId="0" applyNumberFormat="1" applyFont="1" applyBorder="1" applyAlignment="1" applyProtection="1">
      <alignment horizontal="left" vertical="center" inden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4" fontId="6" fillId="0" borderId="0" xfId="2" applyFont="1" applyBorder="1" applyAlignment="1" applyProtection="1">
      <alignment horizontal="center" vertical="center"/>
      <protection locked="0"/>
    </xf>
    <xf numFmtId="164" fontId="6" fillId="0" borderId="0" xfId="2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64" fontId="6" fillId="0" borderId="0" xfId="2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 wrapText="1" indent="1"/>
      <protection locked="0"/>
    </xf>
    <xf numFmtId="164" fontId="5" fillId="0" borderId="16" xfId="2" applyFont="1" applyBorder="1" applyAlignment="1" applyProtection="1">
      <alignment horizontal="left" vertical="center" wrapText="1" indent="1"/>
      <protection locked="0"/>
    </xf>
    <xf numFmtId="164" fontId="5" fillId="0" borderId="23" xfId="2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left" vertical="center" wrapText="1" indent="1"/>
      <protection locked="0"/>
    </xf>
    <xf numFmtId="164" fontId="8" fillId="0" borderId="8" xfId="2" applyFont="1" applyBorder="1" applyAlignment="1" applyProtection="1">
      <alignment horizontal="left" vertical="center" wrapText="1" indent="1"/>
      <protection locked="0"/>
    </xf>
    <xf numFmtId="164" fontId="8" fillId="0" borderId="25" xfId="2" applyFont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left" vertical="center" wrapText="1" indent="1"/>
      <protection locked="0"/>
    </xf>
    <xf numFmtId="164" fontId="7" fillId="0" borderId="8" xfId="2" applyFont="1" applyBorder="1" applyAlignment="1" applyProtection="1">
      <alignment horizontal="left" vertical="center" wrapText="1" indent="1"/>
      <protection locked="0"/>
    </xf>
    <xf numFmtId="164" fontId="7" fillId="0" borderId="25" xfId="2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left" vertical="center" wrapText="1" indent="1"/>
      <protection locked="0"/>
    </xf>
    <xf numFmtId="164" fontId="5" fillId="0" borderId="8" xfId="2" applyFont="1" applyBorder="1" applyAlignment="1" applyProtection="1">
      <alignment horizontal="left" vertical="center" wrapText="1" indent="1"/>
      <protection locked="0"/>
    </xf>
    <xf numFmtId="164" fontId="5" fillId="0" borderId="25" xfId="2" applyFont="1" applyBorder="1" applyAlignment="1" applyProtection="1">
      <alignment horizontal="left" vertical="center" wrapText="1" indent="1"/>
      <protection locked="0"/>
    </xf>
    <xf numFmtId="164" fontId="20" fillId="0" borderId="8" xfId="2" applyFont="1" applyBorder="1" applyAlignment="1" applyProtection="1">
      <alignment horizontal="left" vertical="center" wrapText="1" indent="1"/>
      <protection locked="0"/>
    </xf>
    <xf numFmtId="164" fontId="20" fillId="0" borderId="25" xfId="2" applyFont="1" applyBorder="1" applyAlignment="1" applyProtection="1">
      <alignment horizontal="left" vertical="center" wrapText="1" inden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left" vertical="center" wrapText="1" indent="1"/>
      <protection locked="0"/>
    </xf>
    <xf numFmtId="164" fontId="5" fillId="0" borderId="26" xfId="2" applyFont="1" applyBorder="1" applyAlignment="1" applyProtection="1">
      <alignment horizontal="left" vertical="center" wrapText="1" indent="1"/>
      <protection locked="0"/>
    </xf>
    <xf numFmtId="164" fontId="5" fillId="0" borderId="27" xfId="2" applyFont="1" applyBorder="1" applyAlignment="1" applyProtection="1">
      <alignment horizontal="left" vertical="center" wrapText="1" indent="1"/>
      <protection locked="0"/>
    </xf>
    <xf numFmtId="0" fontId="4" fillId="0" borderId="29" xfId="0" applyFont="1" applyBorder="1" applyProtection="1">
      <protection locked="0"/>
    </xf>
    <xf numFmtId="0" fontId="4" fillId="0" borderId="30" xfId="0" applyNumberFormat="1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center"/>
      <protection locked="0"/>
    </xf>
    <xf numFmtId="164" fontId="4" fillId="0" borderId="30" xfId="2" applyFont="1" applyBorder="1" applyAlignment="1" applyProtection="1">
      <alignment horizontal="center"/>
      <protection locked="0"/>
    </xf>
    <xf numFmtId="164" fontId="4" fillId="0" borderId="28" xfId="2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4" fontId="4" fillId="0" borderId="0" xfId="2" applyFont="1" applyBorder="1" applyAlignment="1" applyProtection="1">
      <alignment horizontal="center"/>
      <protection locked="0"/>
    </xf>
    <xf numFmtId="164" fontId="4" fillId="0" borderId="25" xfId="2" applyFont="1" applyBorder="1" applyProtection="1">
      <protection locked="0"/>
    </xf>
    <xf numFmtId="164" fontId="22" fillId="0" borderId="27" xfId="2" applyFont="1" applyBorder="1" applyProtection="1">
      <protection locked="0"/>
    </xf>
    <xf numFmtId="164" fontId="4" fillId="0" borderId="0" xfId="2" applyFont="1" applyBorder="1" applyProtection="1">
      <protection locked="0"/>
    </xf>
    <xf numFmtId="0" fontId="24" fillId="0" borderId="0" xfId="0" applyFont="1" applyBorder="1" applyAlignment="1" applyProtection="1">
      <alignment horizontal="centerContinuous" vertical="center"/>
      <protection locked="0"/>
    </xf>
    <xf numFmtId="164" fontId="5" fillId="0" borderId="16" xfId="2" applyFont="1" applyFill="1" applyBorder="1" applyAlignment="1" applyProtection="1">
      <alignment horizontal="left" vertical="center" wrapText="1" indent="1"/>
    </xf>
    <xf numFmtId="164" fontId="8" fillId="0" borderId="8" xfId="2" applyFont="1" applyFill="1" applyBorder="1" applyAlignment="1" applyProtection="1">
      <alignment horizontal="left" vertical="center" wrapText="1" indent="1"/>
    </xf>
    <xf numFmtId="164" fontId="7" fillId="0" borderId="8" xfId="2" applyFont="1" applyFill="1" applyBorder="1" applyAlignment="1" applyProtection="1">
      <alignment horizontal="left" vertical="center" wrapText="1" indent="1"/>
    </xf>
    <xf numFmtId="164" fontId="5" fillId="0" borderId="8" xfId="2" applyFont="1" applyFill="1" applyBorder="1" applyAlignment="1" applyProtection="1">
      <alignment horizontal="left" vertical="center" wrapText="1" indent="1"/>
    </xf>
    <xf numFmtId="2" fontId="6" fillId="2" borderId="0" xfId="4" quotePrefix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Protection="1"/>
    <xf numFmtId="0" fontId="6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/>
    </xf>
    <xf numFmtId="164" fontId="6" fillId="0" borderId="0" xfId="2" applyFont="1" applyBorder="1" applyProtection="1"/>
    <xf numFmtId="164" fontId="3" fillId="0" borderId="0" xfId="2" applyFont="1" applyBorder="1" applyProtection="1"/>
    <xf numFmtId="0" fontId="3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indent="2"/>
    </xf>
    <xf numFmtId="0" fontId="6" fillId="0" borderId="0" xfId="0" applyNumberFormat="1" applyFont="1" applyBorder="1" applyAlignment="1" applyProtection="1">
      <alignment horizontal="left" vertical="center" indent="1"/>
    </xf>
    <xf numFmtId="164" fontId="6" fillId="0" borderId="0" xfId="2" applyFont="1" applyBorder="1" applyAlignment="1" applyProtection="1">
      <alignment horizontal="left" vertical="center"/>
    </xf>
    <xf numFmtId="165" fontId="6" fillId="0" borderId="0" xfId="0" applyNumberFormat="1" applyFont="1" applyFill="1" applyBorder="1" applyAlignment="1" applyProtection="1">
      <alignment horizontal="left" vertical="center"/>
    </xf>
    <xf numFmtId="165" fontId="6" fillId="2" borderId="0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wrapText="1" inden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 wrapText="1" indent="1"/>
    </xf>
    <xf numFmtId="164" fontId="5" fillId="0" borderId="2" xfId="2" applyFont="1" applyFill="1" applyBorder="1" applyAlignment="1" applyProtection="1">
      <alignment horizontal="left" vertical="center" wrapText="1" indent="1"/>
    </xf>
    <xf numFmtId="164" fontId="5" fillId="0" borderId="13" xfId="2" applyFont="1" applyBorder="1" applyAlignment="1" applyProtection="1">
      <alignment horizontal="left" vertical="center" wrapText="1" indent="1"/>
    </xf>
    <xf numFmtId="164" fontId="5" fillId="0" borderId="9" xfId="2" applyFont="1" applyBorder="1" applyAlignment="1" applyProtection="1">
      <alignment horizontal="left" vertical="center" wrapText="1" indent="1"/>
    </xf>
    <xf numFmtId="0" fontId="5" fillId="0" borderId="0" xfId="0" applyFont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 wrapText="1" indent="1"/>
    </xf>
    <xf numFmtId="164" fontId="8" fillId="0" borderId="2" xfId="2" applyFont="1" applyFill="1" applyBorder="1" applyAlignment="1" applyProtection="1">
      <alignment horizontal="left" vertical="center" wrapText="1" indent="1"/>
    </xf>
    <xf numFmtId="164" fontId="8" fillId="0" borderId="13" xfId="2" applyFont="1" applyBorder="1" applyAlignment="1" applyProtection="1">
      <alignment horizontal="left" vertical="center" wrapText="1" indent="1"/>
    </xf>
    <xf numFmtId="164" fontId="8" fillId="0" borderId="9" xfId="2" applyFont="1" applyBorder="1" applyAlignment="1" applyProtection="1">
      <alignment horizontal="left" vertical="center" wrapText="1" indent="1"/>
    </xf>
    <xf numFmtId="0" fontId="8" fillId="0" borderId="0" xfId="0" applyFont="1" applyBorder="1" applyAlignment="1" applyProtection="1">
      <alignment vertical="center"/>
    </xf>
    <xf numFmtId="164" fontId="9" fillId="0" borderId="2" xfId="2" applyFont="1" applyFill="1" applyBorder="1" applyAlignment="1" applyProtection="1">
      <alignment horizontal="left" vertical="center" wrapText="1" indent="1"/>
    </xf>
    <xf numFmtId="164" fontId="5" fillId="0" borderId="14" xfId="2" applyFont="1" applyBorder="1" applyAlignment="1" applyProtection="1">
      <alignment horizontal="left" vertical="center" wrapText="1" indent="1"/>
    </xf>
    <xf numFmtId="0" fontId="4" fillId="0" borderId="0" xfId="0" applyFont="1" applyBorder="1" applyProtection="1"/>
    <xf numFmtId="49" fontId="4" fillId="0" borderId="0" xfId="13" applyNumberFormat="1" applyFont="1" applyFill="1" applyBorder="1" applyAlignment="1" applyProtection="1">
      <alignment horizontal="center"/>
    </xf>
    <xf numFmtId="0" fontId="13" fillId="0" borderId="0" xfId="13" applyFont="1" applyAlignment="1" applyProtection="1">
      <alignment horizontal="left"/>
    </xf>
    <xf numFmtId="0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164" fontId="4" fillId="0" borderId="0" xfId="2" applyFont="1" applyBorder="1" applyProtection="1"/>
    <xf numFmtId="164" fontId="6" fillId="0" borderId="0" xfId="2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Continuous" vertical="center"/>
    </xf>
    <xf numFmtId="164" fontId="3" fillId="0" borderId="0" xfId="2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 wrapText="1"/>
    </xf>
    <xf numFmtId="164" fontId="6" fillId="0" borderId="0" xfId="2" applyFont="1" applyBorder="1" applyAlignment="1" applyProtection="1">
      <alignment horizontal="center" vertical="center"/>
    </xf>
    <xf numFmtId="164" fontId="6" fillId="5" borderId="0" xfId="2" applyFont="1" applyFill="1" applyBorder="1" applyAlignment="1" applyProtection="1">
      <alignment vertical="center"/>
    </xf>
    <xf numFmtId="2" fontId="6" fillId="2" borderId="0" xfId="4" quotePrefix="1" applyNumberFormat="1" applyFont="1" applyFill="1" applyBorder="1" applyAlignment="1" applyProtection="1">
      <alignment vertical="center"/>
    </xf>
    <xf numFmtId="0" fontId="4" fillId="0" borderId="32" xfId="0" applyFont="1" applyBorder="1" applyAlignment="1" applyProtection="1">
      <protection locked="0"/>
    </xf>
    <xf numFmtId="0" fontId="4" fillId="0" borderId="33" xfId="0" applyFont="1" applyBorder="1" applyAlignment="1" applyProtection="1">
      <protection locked="0"/>
    </xf>
    <xf numFmtId="164" fontId="4" fillId="0" borderId="34" xfId="2" applyFont="1" applyBorder="1" applyProtection="1">
      <protection locked="0"/>
    </xf>
    <xf numFmtId="164" fontId="4" fillId="0" borderId="35" xfId="2" applyFont="1" applyBorder="1" applyProtection="1">
      <protection locked="0"/>
    </xf>
    <xf numFmtId="164" fontId="4" fillId="0" borderId="7" xfId="2" applyFont="1" applyBorder="1" applyProtection="1">
      <protection locked="0"/>
    </xf>
    <xf numFmtId="164" fontId="22" fillId="0" borderId="36" xfId="2" applyFont="1" applyBorder="1" applyProtection="1">
      <protection locked="0"/>
    </xf>
    <xf numFmtId="164" fontId="22" fillId="0" borderId="37" xfId="2" applyFont="1" applyBorder="1" applyProtection="1">
      <protection locked="0"/>
    </xf>
    <xf numFmtId="10" fontId="6" fillId="2" borderId="0" xfId="4" quotePrefix="1" applyNumberFormat="1" applyFont="1" applyFill="1" applyBorder="1" applyAlignment="1" applyProtection="1">
      <alignment horizontal="right" vertical="center"/>
      <protection locked="0"/>
    </xf>
    <xf numFmtId="164" fontId="4" fillId="0" borderId="28" xfId="2" applyFont="1" applyBorder="1" applyProtection="1"/>
    <xf numFmtId="164" fontId="4" fillId="0" borderId="25" xfId="2" applyFont="1" applyBorder="1" applyProtection="1"/>
    <xf numFmtId="164" fontId="22" fillId="0" borderId="27" xfId="2" applyFont="1" applyBorder="1" applyProtection="1"/>
    <xf numFmtId="164" fontId="9" fillId="0" borderId="8" xfId="2" applyFont="1" applyFill="1" applyBorder="1" applyAlignment="1" applyProtection="1">
      <alignment horizontal="left" vertical="center" wrapText="1" indent="1"/>
    </xf>
    <xf numFmtId="164" fontId="9" fillId="3" borderId="8" xfId="2" applyFont="1" applyFill="1" applyBorder="1" applyAlignment="1" applyProtection="1">
      <alignment horizontal="left" vertical="center" wrapText="1" indent="1"/>
      <protection locked="0"/>
    </xf>
    <xf numFmtId="164" fontId="9" fillId="3" borderId="26" xfId="2" applyFont="1" applyFill="1" applyBorder="1" applyAlignment="1" applyProtection="1">
      <alignment horizontal="left" vertical="center" wrapText="1" indent="1"/>
      <protection locked="0"/>
    </xf>
    <xf numFmtId="164" fontId="4" fillId="0" borderId="38" xfId="2" applyFont="1" applyBorder="1" applyAlignment="1" applyProtection="1">
      <alignment horizontal="right"/>
    </xf>
    <xf numFmtId="10" fontId="3" fillId="2" borderId="39" xfId="4" quotePrefix="1" applyNumberFormat="1" applyFont="1" applyFill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left" vertical="center" wrapText="1" indent="1"/>
    </xf>
    <xf numFmtId="164" fontId="5" fillId="0" borderId="40" xfId="2" applyFont="1" applyBorder="1" applyAlignment="1" applyProtection="1">
      <alignment horizontal="left" vertical="center" wrapText="1" indent="1"/>
    </xf>
    <xf numFmtId="0" fontId="4" fillId="0" borderId="41" xfId="0" applyFont="1" applyBorder="1" applyProtection="1"/>
    <xf numFmtId="164" fontId="4" fillId="0" borderId="42" xfId="2" applyFont="1" applyBorder="1" applyAlignment="1" applyProtection="1">
      <alignment horizontal="right"/>
    </xf>
    <xf numFmtId="164" fontId="4" fillId="0" borderId="35" xfId="2" applyFont="1" applyBorder="1" applyAlignment="1" applyProtection="1">
      <alignment horizontal="right"/>
    </xf>
    <xf numFmtId="0" fontId="4" fillId="0" borderId="43" xfId="0" applyFont="1" applyBorder="1" applyProtection="1"/>
    <xf numFmtId="0" fontId="4" fillId="0" borderId="44" xfId="0" applyFont="1" applyBorder="1" applyProtection="1"/>
    <xf numFmtId="164" fontId="22" fillId="0" borderId="45" xfId="2" applyFont="1" applyBorder="1" applyAlignment="1" applyProtection="1">
      <alignment horizontal="right"/>
    </xf>
    <xf numFmtId="164" fontId="22" fillId="0" borderId="37" xfId="2" applyFont="1" applyBorder="1" applyAlignment="1" applyProtection="1">
      <alignment horizontal="right"/>
    </xf>
    <xf numFmtId="164" fontId="5" fillId="0" borderId="26" xfId="2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0" xfId="0" applyNumberFormat="1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Continuous" wrapText="1"/>
      <protection locked="0"/>
    </xf>
    <xf numFmtId="164" fontId="4" fillId="0" borderId="0" xfId="2" applyFont="1" applyBorder="1" applyAlignment="1" applyProtection="1">
      <alignment horizontal="centerContinuous"/>
      <protection locked="0"/>
    </xf>
    <xf numFmtId="49" fontId="5" fillId="0" borderId="1" xfId="0" applyNumberFormat="1" applyFont="1" applyBorder="1" applyAlignment="1" applyProtection="1">
      <alignment horizontal="left" vertical="center" indent="1"/>
    </xf>
    <xf numFmtId="49" fontId="8" fillId="0" borderId="1" xfId="0" applyNumberFormat="1" applyFont="1" applyBorder="1" applyAlignment="1" applyProtection="1">
      <alignment horizontal="left" vertical="center" indent="1"/>
    </xf>
    <xf numFmtId="0" fontId="12" fillId="0" borderId="0" xfId="13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 vertical="center" wrapText="1" indent="1"/>
    </xf>
    <xf numFmtId="43" fontId="8" fillId="0" borderId="0" xfId="0" applyNumberFormat="1" applyFont="1" applyBorder="1" applyAlignment="1" applyProtection="1">
      <alignment vertical="center"/>
      <protection locked="0"/>
    </xf>
    <xf numFmtId="43" fontId="4" fillId="0" borderId="0" xfId="0" applyNumberFormat="1" applyFont="1" applyBorder="1" applyProtection="1"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4" fontId="8" fillId="0" borderId="0" xfId="0" applyNumberFormat="1" applyFont="1" applyBorder="1" applyAlignment="1" applyProtection="1">
      <alignment vertical="center"/>
      <protection locked="0"/>
    </xf>
    <xf numFmtId="4" fontId="4" fillId="0" borderId="0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64" fontId="6" fillId="0" borderId="18" xfId="2" applyFont="1" applyBorder="1" applyAlignment="1" applyProtection="1">
      <alignment horizontal="center" vertical="center" wrapText="1"/>
      <protection locked="0"/>
    </xf>
    <xf numFmtId="164" fontId="3" fillId="0" borderId="6" xfId="2" applyFont="1" applyBorder="1" applyAlignment="1" applyProtection="1">
      <protection locked="0"/>
    </xf>
    <xf numFmtId="164" fontId="6" fillId="0" borderId="19" xfId="2" applyFont="1" applyBorder="1" applyAlignment="1" applyProtection="1">
      <alignment horizontal="center" vertical="center" wrapText="1"/>
      <protection locked="0"/>
    </xf>
    <xf numFmtId="164" fontId="3" fillId="0" borderId="21" xfId="2" applyFont="1" applyBorder="1" applyAlignment="1" applyProtection="1"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64" fontId="6" fillId="0" borderId="18" xfId="2" applyFont="1" applyBorder="1" applyAlignment="1" applyProtection="1">
      <alignment horizontal="center" vertical="center"/>
      <protection locked="0"/>
    </xf>
    <xf numFmtId="164" fontId="3" fillId="0" borderId="6" xfId="2" applyFont="1" applyBorder="1" applyAlignment="1" applyProtection="1">
      <alignment wrapText="1"/>
      <protection locked="0"/>
    </xf>
    <xf numFmtId="164" fontId="6" fillId="0" borderId="3" xfId="2" applyFont="1" applyBorder="1" applyAlignment="1" applyProtection="1">
      <alignment horizontal="center" vertical="center" wrapText="1"/>
    </xf>
    <xf numFmtId="164" fontId="6" fillId="0" borderId="5" xfId="2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4" xfId="0" applyNumberFormat="1" applyFont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164" fontId="6" fillId="0" borderId="4" xfId="2" applyFont="1" applyBorder="1" applyAlignment="1" applyProtection="1">
      <alignment horizontal="center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11" xfId="2" applyFont="1" applyBorder="1" applyAlignment="1" applyProtection="1">
      <alignment horizontal="center" vertical="center" wrapText="1"/>
    </xf>
    <xf numFmtId="164" fontId="6" fillId="0" borderId="12" xfId="2" applyFont="1" applyBorder="1" applyAlignment="1" applyProtection="1">
      <alignment horizontal="center" vertical="center" wrapText="1"/>
    </xf>
  </cellXfs>
  <cellStyles count="179">
    <cellStyle name="Data" xfId="33" xr:uid="{00000000-0005-0000-0000-000000000000}"/>
    <cellStyle name="Fixo" xfId="34" xr:uid="{00000000-0005-0000-0000-000001000000}"/>
    <cellStyle name="Hiperlink 2" xfId="157" xr:uid="{00000000-0005-0000-0000-000002000000}"/>
    <cellStyle name="Moeda 2" xfId="35" xr:uid="{00000000-0005-0000-0000-000003000000}"/>
    <cellStyle name="Moeda 2 2" xfId="36" xr:uid="{00000000-0005-0000-0000-000004000000}"/>
    <cellStyle name="Moeda 3" xfId="37" xr:uid="{00000000-0005-0000-0000-000005000000}"/>
    <cellStyle name="Moeda 4" xfId="164" xr:uid="{00000000-0005-0000-0000-000006000000}"/>
    <cellStyle name="Moeda 5" xfId="93" xr:uid="{00000000-0005-0000-0000-000007000000}"/>
    <cellStyle name="Normal" xfId="0" builtinId="0"/>
    <cellStyle name="Normal 10" xfId="25" xr:uid="{00000000-0005-0000-0000-000009000000}"/>
    <cellStyle name="Normal 10 10" xfId="94" xr:uid="{00000000-0005-0000-0000-00000A000000}"/>
    <cellStyle name="Normal 10 2" xfId="22" xr:uid="{00000000-0005-0000-0000-00000B000000}"/>
    <cellStyle name="Normal 11" xfId="32" xr:uid="{00000000-0005-0000-0000-00000C000000}"/>
    <cellStyle name="Normal 12" xfId="10" xr:uid="{00000000-0005-0000-0000-00000D000000}"/>
    <cellStyle name="Normal 13" xfId="28" xr:uid="{00000000-0005-0000-0000-00000E000000}"/>
    <cellStyle name="Normal 13 2" xfId="38" xr:uid="{00000000-0005-0000-0000-00000F000000}"/>
    <cellStyle name="Normal 14" xfId="29" xr:uid="{00000000-0005-0000-0000-000010000000}"/>
    <cellStyle name="Normal 14 2" xfId="39" xr:uid="{00000000-0005-0000-0000-000011000000}"/>
    <cellStyle name="Normal 15" xfId="40" xr:uid="{00000000-0005-0000-0000-000012000000}"/>
    <cellStyle name="Normal 16" xfId="41" xr:uid="{00000000-0005-0000-0000-000013000000}"/>
    <cellStyle name="Normal 17" xfId="30" xr:uid="{00000000-0005-0000-0000-000014000000}"/>
    <cellStyle name="Normal 18" xfId="31" xr:uid="{00000000-0005-0000-0000-000015000000}"/>
    <cellStyle name="Normal 19" xfId="83" xr:uid="{00000000-0005-0000-0000-000016000000}"/>
    <cellStyle name="Normal 19 2" xfId="158" xr:uid="{00000000-0005-0000-0000-000017000000}"/>
    <cellStyle name="Normal 19 3" xfId="163" xr:uid="{00000000-0005-0000-0000-000018000000}"/>
    <cellStyle name="Normal 2" xfId="1" xr:uid="{00000000-0005-0000-0000-000019000000}"/>
    <cellStyle name="Normal 2 10" xfId="24" xr:uid="{00000000-0005-0000-0000-00001A000000}"/>
    <cellStyle name="Normal 2 2" xfId="13" xr:uid="{00000000-0005-0000-0000-00001B000000}"/>
    <cellStyle name="Normal 2 2 2" xfId="14" xr:uid="{00000000-0005-0000-0000-00001C000000}"/>
    <cellStyle name="Normal 2 2 2 2" xfId="78" xr:uid="{00000000-0005-0000-0000-00001D000000}"/>
    <cellStyle name="Normal 2 2 2 2 2" xfId="171" xr:uid="{00000000-0005-0000-0000-00001E000000}"/>
    <cellStyle name="Normal 2 2 2 3" xfId="81" xr:uid="{00000000-0005-0000-0000-00001F000000}"/>
    <cellStyle name="Normal 2 2 2 3 3" xfId="154" xr:uid="{00000000-0005-0000-0000-000020000000}"/>
    <cellStyle name="Normal 2 2 2 4" xfId="87" xr:uid="{00000000-0005-0000-0000-000021000000}"/>
    <cellStyle name="Normal 2 2 3" xfId="75" xr:uid="{00000000-0005-0000-0000-000022000000}"/>
    <cellStyle name="Normal 2 2 3 2" xfId="79" xr:uid="{00000000-0005-0000-0000-000023000000}"/>
    <cellStyle name="Normal 2 2 3 2 2" xfId="172" xr:uid="{00000000-0005-0000-0000-000024000000}"/>
    <cellStyle name="Normal 2 2 3 3" xfId="82" xr:uid="{00000000-0005-0000-0000-000025000000}"/>
    <cellStyle name="Normal 2 2 3 4" xfId="88" xr:uid="{00000000-0005-0000-0000-000026000000}"/>
    <cellStyle name="Normal 2 2 4" xfId="77" xr:uid="{00000000-0005-0000-0000-000027000000}"/>
    <cellStyle name="Normal 2 2 4 2" xfId="173" xr:uid="{00000000-0005-0000-0000-000028000000}"/>
    <cellStyle name="Normal 2 2 5" xfId="80" xr:uid="{00000000-0005-0000-0000-000029000000}"/>
    <cellStyle name="Normal 2 2 5 2" xfId="174" xr:uid="{00000000-0005-0000-0000-00002A000000}"/>
    <cellStyle name="Normal 2 2 6" xfId="86" xr:uid="{00000000-0005-0000-0000-00002B000000}"/>
    <cellStyle name="Normal 2 2 7" xfId="152" xr:uid="{00000000-0005-0000-0000-00002C000000}"/>
    <cellStyle name="Normal 2 2 8" xfId="161" xr:uid="{00000000-0005-0000-0000-00002D000000}"/>
    <cellStyle name="Normal 2 3" xfId="42" xr:uid="{00000000-0005-0000-0000-00002E000000}"/>
    <cellStyle name="Normal 2 4" xfId="43" xr:uid="{00000000-0005-0000-0000-00002F000000}"/>
    <cellStyle name="Normal 2_ARUJA_C1_00_GAS_QTC_PB_R00" xfId="95" xr:uid="{00000000-0005-0000-0000-000030000000}"/>
    <cellStyle name="Normal 20" xfId="90" xr:uid="{00000000-0005-0000-0000-000031000000}"/>
    <cellStyle name="Normal 21" xfId="96" xr:uid="{00000000-0005-0000-0000-000032000000}"/>
    <cellStyle name="Normal 21 2" xfId="97" xr:uid="{00000000-0005-0000-0000-000033000000}"/>
    <cellStyle name="Normal 22" xfId="156" xr:uid="{00000000-0005-0000-0000-000034000000}"/>
    <cellStyle name="Normal 23" xfId="159" xr:uid="{00000000-0005-0000-0000-000035000000}"/>
    <cellStyle name="Normal 24" xfId="162" xr:uid="{00000000-0005-0000-0000-000036000000}"/>
    <cellStyle name="Normal 3" xfId="3" xr:uid="{00000000-0005-0000-0000-000037000000}"/>
    <cellStyle name="Normal 3 2" xfId="44" xr:uid="{00000000-0005-0000-0000-000038000000}"/>
    <cellStyle name="Normal 3 3" xfId="76" xr:uid="{00000000-0005-0000-0000-000039000000}"/>
    <cellStyle name="Normal 3 4" xfId="85" xr:uid="{00000000-0005-0000-0000-00003A000000}"/>
    <cellStyle name="Normal 3 5" xfId="153" xr:uid="{00000000-0005-0000-0000-00003B000000}"/>
    <cellStyle name="Normal 3 6" xfId="169" xr:uid="{00000000-0005-0000-0000-00003C000000}"/>
    <cellStyle name="Normal 3 7" xfId="6" xr:uid="{00000000-0005-0000-0000-00003D000000}"/>
    <cellStyle name="Normal 4" xfId="11" xr:uid="{00000000-0005-0000-0000-00003E000000}"/>
    <cellStyle name="Normal 4 2" xfId="8" xr:uid="{00000000-0005-0000-0000-00003F000000}"/>
    <cellStyle name="Normal 4 3" xfId="98" xr:uid="{00000000-0005-0000-0000-000040000000}"/>
    <cellStyle name="Normal 4 4" xfId="167" xr:uid="{00000000-0005-0000-0000-000041000000}"/>
    <cellStyle name="Normal 4 6" xfId="99" xr:uid="{00000000-0005-0000-0000-000042000000}"/>
    <cellStyle name="Normal 5" xfId="16" xr:uid="{00000000-0005-0000-0000-000043000000}"/>
    <cellStyle name="Normal 5 2" xfId="19" xr:uid="{00000000-0005-0000-0000-000044000000}"/>
    <cellStyle name="Normal 5 2 2" xfId="45" xr:uid="{00000000-0005-0000-0000-000045000000}"/>
    <cellStyle name="Normal 5 3" xfId="46" xr:uid="{00000000-0005-0000-0000-000046000000}"/>
    <cellStyle name="Normal 5 4" xfId="26" xr:uid="{00000000-0005-0000-0000-000047000000}"/>
    <cellStyle name="Normal 5 5" xfId="84" xr:uid="{00000000-0005-0000-0000-000048000000}"/>
    <cellStyle name="Normal 5 5 2" xfId="151" xr:uid="{00000000-0005-0000-0000-000049000000}"/>
    <cellStyle name="Normal 5 5 3" xfId="175" xr:uid="{00000000-0005-0000-0000-00004A000000}"/>
    <cellStyle name="Normal 5 6" xfId="168" xr:uid="{00000000-0005-0000-0000-00004B000000}"/>
    <cellStyle name="Normal 5 7" xfId="170" xr:uid="{00000000-0005-0000-0000-00004C000000}"/>
    <cellStyle name="Normal 6" xfId="7" xr:uid="{00000000-0005-0000-0000-00004D000000}"/>
    <cellStyle name="Normal 6 2" xfId="12" xr:uid="{00000000-0005-0000-0000-00004E000000}"/>
    <cellStyle name="Normal 6 3" xfId="100" xr:uid="{00000000-0005-0000-0000-00004F000000}"/>
    <cellStyle name="Normal 7" xfId="20" xr:uid="{00000000-0005-0000-0000-000050000000}"/>
    <cellStyle name="Normal 7 2" xfId="47" xr:uid="{00000000-0005-0000-0000-000051000000}"/>
    <cellStyle name="Normal 8" xfId="17" xr:uid="{00000000-0005-0000-0000-000052000000}"/>
    <cellStyle name="Normal 9" xfId="21" xr:uid="{00000000-0005-0000-0000-000053000000}"/>
    <cellStyle name="Normal 9 2" xfId="91" xr:uid="{00000000-0005-0000-0000-000054000000}"/>
    <cellStyle name="Nota 2" xfId="48" xr:uid="{00000000-0005-0000-0000-000055000000}"/>
    <cellStyle name="Percentual" xfId="49" xr:uid="{00000000-0005-0000-0000-000056000000}"/>
    <cellStyle name="Ponto" xfId="50" xr:uid="{00000000-0005-0000-0000-000057000000}"/>
    <cellStyle name="Porcentagem" xfId="4" builtinId="5"/>
    <cellStyle name="Porcentagem 2" xfId="15" xr:uid="{00000000-0005-0000-0000-000059000000}"/>
    <cellStyle name="Porcentagem 2 2" xfId="176" xr:uid="{00000000-0005-0000-0000-00005A000000}"/>
    <cellStyle name="Porcentagem 3" xfId="9" xr:uid="{00000000-0005-0000-0000-00005B000000}"/>
    <cellStyle name="Porcentagem 3 2" xfId="101" xr:uid="{00000000-0005-0000-0000-00005C000000}"/>
    <cellStyle name="Porcentagem 4" xfId="92" xr:uid="{00000000-0005-0000-0000-00005D000000}"/>
    <cellStyle name="Porcentagem 5" xfId="177" xr:uid="{00000000-0005-0000-0000-00005E000000}"/>
    <cellStyle name="Porcentagem 6" xfId="166" xr:uid="{00000000-0005-0000-0000-00005F000000}"/>
    <cellStyle name="Separador de milhares [0] 2" xfId="51" xr:uid="{00000000-0005-0000-0000-000060000000}"/>
    <cellStyle name="Separador de milhares 2" xfId="27" xr:uid="{00000000-0005-0000-0000-000061000000}"/>
    <cellStyle name="Separador de milhares 2 2" xfId="52" xr:uid="{00000000-0005-0000-0000-000062000000}"/>
    <cellStyle name="Separador de milhares 2 2 2" xfId="102" xr:uid="{00000000-0005-0000-0000-000063000000}"/>
    <cellStyle name="Separador de milhares 2 2 2 2" xfId="103" xr:uid="{00000000-0005-0000-0000-000064000000}"/>
    <cellStyle name="Separador de milhares 2 2 2 3" xfId="104" xr:uid="{00000000-0005-0000-0000-000065000000}"/>
    <cellStyle name="Separador de milhares 2 2 3" xfId="105" xr:uid="{00000000-0005-0000-0000-000066000000}"/>
    <cellStyle name="Separador de milhares 2 3" xfId="106" xr:uid="{00000000-0005-0000-0000-000067000000}"/>
    <cellStyle name="Separador de milhares 2 3 2" xfId="107" xr:uid="{00000000-0005-0000-0000-000068000000}"/>
    <cellStyle name="Separador de milhares 2 3 2 2" xfId="108" xr:uid="{00000000-0005-0000-0000-000069000000}"/>
    <cellStyle name="Separador de milhares 2 3 2 3" xfId="109" xr:uid="{00000000-0005-0000-0000-00006A000000}"/>
    <cellStyle name="Separador de milhares 2 4" xfId="110" xr:uid="{00000000-0005-0000-0000-00006B000000}"/>
    <cellStyle name="Separador de milhares 2 4 2" xfId="111" xr:uid="{00000000-0005-0000-0000-00006C000000}"/>
    <cellStyle name="Separador de milhares 2 4 3" xfId="112" xr:uid="{00000000-0005-0000-0000-00006D000000}"/>
    <cellStyle name="Separador de milhares 2 5" xfId="113" xr:uid="{00000000-0005-0000-0000-00006E000000}"/>
    <cellStyle name="Separador de milhares 2 6" xfId="178" xr:uid="{00000000-0005-0000-0000-00006F000000}"/>
    <cellStyle name="Separador de milhares 3" xfId="53" xr:uid="{00000000-0005-0000-0000-000070000000}"/>
    <cellStyle name="Separador de milhares 4" xfId="54" xr:uid="{00000000-0005-0000-0000-000071000000}"/>
    <cellStyle name="Separador de milhares 5" xfId="55" xr:uid="{00000000-0005-0000-0000-000072000000}"/>
    <cellStyle name="Titulo1" xfId="56" xr:uid="{00000000-0005-0000-0000-000073000000}"/>
    <cellStyle name="Titulo2" xfId="57" xr:uid="{00000000-0005-0000-0000-000074000000}"/>
    <cellStyle name="Vírgula" xfId="2" builtinId="3"/>
    <cellStyle name="Vírgula 10" xfId="58" xr:uid="{00000000-0005-0000-0000-000076000000}"/>
    <cellStyle name="Vírgula 10 2" xfId="114" xr:uid="{00000000-0005-0000-0000-000077000000}"/>
    <cellStyle name="Vírgula 10 2 2" xfId="115" xr:uid="{00000000-0005-0000-0000-000078000000}"/>
    <cellStyle name="Vírgula 10 2 3" xfId="116" xr:uid="{00000000-0005-0000-0000-000079000000}"/>
    <cellStyle name="Vírgula 11" xfId="59" xr:uid="{00000000-0005-0000-0000-00007A000000}"/>
    <cellStyle name="Vírgula 12" xfId="60" xr:uid="{00000000-0005-0000-0000-00007B000000}"/>
    <cellStyle name="Vírgula 13" xfId="74" xr:uid="{00000000-0005-0000-0000-00007C000000}"/>
    <cellStyle name="Vírgula 14" xfId="89" xr:uid="{00000000-0005-0000-0000-00007D000000}"/>
    <cellStyle name="Vírgula 15" xfId="160" xr:uid="{00000000-0005-0000-0000-00007E000000}"/>
    <cellStyle name="Vírgula 16" xfId="165" xr:uid="{00000000-0005-0000-0000-00007F000000}"/>
    <cellStyle name="Vírgula 17" xfId="5" xr:uid="{00000000-0005-0000-0000-000080000000}"/>
    <cellStyle name="Vírgula 2" xfId="61" xr:uid="{00000000-0005-0000-0000-000081000000}"/>
    <cellStyle name="Vírgula 2 2" xfId="18" xr:uid="{00000000-0005-0000-0000-000082000000}"/>
    <cellStyle name="Vírgula 2 2 2" xfId="117" xr:uid="{00000000-0005-0000-0000-000083000000}"/>
    <cellStyle name="Vírgula 2 2 2 2" xfId="118" xr:uid="{00000000-0005-0000-0000-000084000000}"/>
    <cellStyle name="Vírgula 2 2 2 3" xfId="119" xr:uid="{00000000-0005-0000-0000-000085000000}"/>
    <cellStyle name="Vírgula 2 2 3" xfId="120" xr:uid="{00000000-0005-0000-0000-000086000000}"/>
    <cellStyle name="Vírgula 2 2 3 2" xfId="121" xr:uid="{00000000-0005-0000-0000-000087000000}"/>
    <cellStyle name="Vírgula 2 2 3 2 2" xfId="122" xr:uid="{00000000-0005-0000-0000-000088000000}"/>
    <cellStyle name="Vírgula 2 2 3 2 3" xfId="123" xr:uid="{00000000-0005-0000-0000-000089000000}"/>
    <cellStyle name="Vírgula 2 3" xfId="62" xr:uid="{00000000-0005-0000-0000-00008A000000}"/>
    <cellStyle name="Vírgula 2 3 2" xfId="124" xr:uid="{00000000-0005-0000-0000-00008B000000}"/>
    <cellStyle name="Vírgula 2 3 2 2" xfId="125" xr:uid="{00000000-0005-0000-0000-00008C000000}"/>
    <cellStyle name="Vírgula 2 3 2 3" xfId="126" xr:uid="{00000000-0005-0000-0000-00008D000000}"/>
    <cellStyle name="Vírgula 2 3 3" xfId="127" xr:uid="{00000000-0005-0000-0000-00008E000000}"/>
    <cellStyle name="Vírgula 2 3 4" xfId="128" xr:uid="{00000000-0005-0000-0000-00008F000000}"/>
    <cellStyle name="Vírgula 2 4" xfId="63" xr:uid="{00000000-0005-0000-0000-000090000000}"/>
    <cellStyle name="Vírgula 3" xfId="23" xr:uid="{00000000-0005-0000-0000-000091000000}"/>
    <cellStyle name="Vírgula 3 2" xfId="64" xr:uid="{00000000-0005-0000-0000-000092000000}"/>
    <cellStyle name="Vírgula 3 2 2" xfId="129" xr:uid="{00000000-0005-0000-0000-000093000000}"/>
    <cellStyle name="Vírgula 3 2 2 2" xfId="130" xr:uid="{00000000-0005-0000-0000-000094000000}"/>
    <cellStyle name="Vírgula 3 2 2 2 2" xfId="131" xr:uid="{00000000-0005-0000-0000-000095000000}"/>
    <cellStyle name="Vírgula 3 2 2 2 3" xfId="132" xr:uid="{00000000-0005-0000-0000-000096000000}"/>
    <cellStyle name="Vírgula 3 3" xfId="133" xr:uid="{00000000-0005-0000-0000-000097000000}"/>
    <cellStyle name="Vírgula 3 3 2" xfId="134" xr:uid="{00000000-0005-0000-0000-000098000000}"/>
    <cellStyle name="Vírgula 3 3 3" xfId="135" xr:uid="{00000000-0005-0000-0000-000099000000}"/>
    <cellStyle name="Vírgula 3 3 4" xfId="155" xr:uid="{00000000-0005-0000-0000-00009A000000}"/>
    <cellStyle name="Vírgula 4" xfId="65" xr:uid="{00000000-0005-0000-0000-00009B000000}"/>
    <cellStyle name="Vírgula 4 2" xfId="136" xr:uid="{00000000-0005-0000-0000-00009C000000}"/>
    <cellStyle name="Vírgula 4 2 2" xfId="137" xr:uid="{00000000-0005-0000-0000-00009D000000}"/>
    <cellStyle name="Vírgula 4 2 3" xfId="138" xr:uid="{00000000-0005-0000-0000-00009E000000}"/>
    <cellStyle name="Vírgula 5" xfId="66" xr:uid="{00000000-0005-0000-0000-00009F000000}"/>
    <cellStyle name="Vírgula 5 2" xfId="139" xr:uid="{00000000-0005-0000-0000-0000A0000000}"/>
    <cellStyle name="Vírgula 5 2 2" xfId="140" xr:uid="{00000000-0005-0000-0000-0000A1000000}"/>
    <cellStyle name="Vírgula 5 2 2 2" xfId="141" xr:uid="{00000000-0005-0000-0000-0000A2000000}"/>
    <cellStyle name="Vírgula 5 2 2 3" xfId="142" xr:uid="{00000000-0005-0000-0000-0000A3000000}"/>
    <cellStyle name="Vírgula 5 2 3" xfId="143" xr:uid="{00000000-0005-0000-0000-0000A4000000}"/>
    <cellStyle name="Vírgula 5 2 4" xfId="144" xr:uid="{00000000-0005-0000-0000-0000A5000000}"/>
    <cellStyle name="Vírgula 5 3" xfId="145" xr:uid="{00000000-0005-0000-0000-0000A6000000}"/>
    <cellStyle name="Vírgula 5 3 2" xfId="146" xr:uid="{00000000-0005-0000-0000-0000A7000000}"/>
    <cellStyle name="Vírgula 5 3 3" xfId="147" xr:uid="{00000000-0005-0000-0000-0000A8000000}"/>
    <cellStyle name="Vírgula 5 4" xfId="148" xr:uid="{00000000-0005-0000-0000-0000A9000000}"/>
    <cellStyle name="Vírgula 5 5" xfId="149" xr:uid="{00000000-0005-0000-0000-0000AA000000}"/>
    <cellStyle name="Vírgula 6" xfId="67" xr:uid="{00000000-0005-0000-0000-0000AB000000}"/>
    <cellStyle name="Vírgula 6 2" xfId="68" xr:uid="{00000000-0005-0000-0000-0000AC000000}"/>
    <cellStyle name="Vírgula 6 3" xfId="150" xr:uid="{00000000-0005-0000-0000-0000AD000000}"/>
    <cellStyle name="Vírgula 7" xfId="69" xr:uid="{00000000-0005-0000-0000-0000AE000000}"/>
    <cellStyle name="Vírgula 8" xfId="70" xr:uid="{00000000-0005-0000-0000-0000AF000000}"/>
    <cellStyle name="Vírgula 8 2" xfId="71" xr:uid="{00000000-0005-0000-0000-0000B0000000}"/>
    <cellStyle name="Vírgula 9" xfId="72" xr:uid="{00000000-0005-0000-0000-0000B1000000}"/>
    <cellStyle name="Vírgula 9 2" xfId="73" xr:uid="{00000000-0005-0000-0000-0000B2000000}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ro1\c\Meus%20documentos\MOD-A01-R1-AGO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"/>
      <sheetName val="Espelho-Hab"/>
      <sheetName val="HABITAÇÃO"/>
      <sheetName val="Espelho-Infra"/>
      <sheetName val="INFRA"/>
      <sheetName val="Cronog-Global"/>
      <sheetName val="Cronog-hab"/>
      <sheetName val="Cronog-Infra"/>
      <sheetName val="Espec.HB fl. 01,03 e 04"/>
      <sheetName val="Espec.HB fl. 02"/>
      <sheetName val="Apo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theme="5" tint="0.59999389629810485"/>
    <pageSetUpPr fitToPage="1"/>
  </sheetPr>
  <dimension ref="A1:L89"/>
  <sheetViews>
    <sheetView showGridLines="0" showZeros="0" tabSelected="1" zoomScale="90" zoomScaleNormal="90" workbookViewId="0">
      <selection activeCell="C5" sqref="C5"/>
    </sheetView>
  </sheetViews>
  <sheetFormatPr defaultColWidth="11.42578125" defaultRowHeight="14.25" x14ac:dyDescent="0.2"/>
  <cols>
    <col min="1" max="1" width="15.5703125" style="80" customWidth="1"/>
    <col min="2" max="2" width="8.7109375" style="82" customWidth="1"/>
    <col min="3" max="3" width="71.42578125" style="1" customWidth="1"/>
    <col min="4" max="4" width="8.42578125" style="83" customWidth="1"/>
    <col min="5" max="5" width="9.85546875" style="84" customWidth="1"/>
    <col min="6" max="6" width="10.42578125" style="87" bestFit="1" customWidth="1"/>
    <col min="7" max="8" width="16" style="87" customWidth="1"/>
    <col min="9" max="9" width="11.42578125" style="80"/>
    <col min="10" max="11" width="12.7109375" style="80" bestFit="1" customWidth="1"/>
    <col min="12" max="16384" width="11.42578125" style="80"/>
  </cols>
  <sheetData>
    <row r="1" spans="1:10" s="32" customFormat="1" ht="12.75" x14ac:dyDescent="0.2">
      <c r="B1" s="33"/>
      <c r="C1" s="2"/>
      <c r="D1" s="34"/>
      <c r="E1" s="35"/>
      <c r="F1" s="36"/>
      <c r="G1" s="36"/>
      <c r="H1" s="36"/>
    </row>
    <row r="2" spans="1:10" s="32" customFormat="1" ht="15.75" customHeight="1" x14ac:dyDescent="0.2">
      <c r="A2" s="88"/>
      <c r="B2" s="88"/>
      <c r="C2" s="88"/>
      <c r="D2" s="88"/>
      <c r="E2" s="88"/>
      <c r="F2" s="88"/>
      <c r="G2" s="88"/>
      <c r="H2" s="88"/>
    </row>
    <row r="3" spans="1:10" s="32" customFormat="1" ht="15.75" customHeight="1" x14ac:dyDescent="0.2">
      <c r="A3" s="88"/>
      <c r="B3" s="88"/>
      <c r="C3" s="88"/>
      <c r="D3" s="88"/>
      <c r="E3" s="88"/>
      <c r="F3" s="88"/>
      <c r="G3" s="88"/>
      <c r="H3" s="88"/>
    </row>
    <row r="4" spans="1:10" s="32" customFormat="1" ht="8.25" customHeight="1" x14ac:dyDescent="0.2">
      <c r="B4" s="37"/>
      <c r="C4" s="3"/>
      <c r="D4" s="38"/>
      <c r="E4" s="39"/>
      <c r="F4" s="40"/>
      <c r="G4" s="40"/>
      <c r="H4" s="40"/>
    </row>
    <row r="5" spans="1:10" s="47" customFormat="1" ht="24.75" customHeight="1" x14ac:dyDescent="0.2">
      <c r="A5" s="41"/>
      <c r="B5" s="42"/>
      <c r="C5" s="43" t="s">
        <v>153</v>
      </c>
      <c r="D5" s="44"/>
      <c r="E5" s="45"/>
      <c r="F5" s="46"/>
      <c r="G5" s="46"/>
      <c r="H5" s="46"/>
    </row>
    <row r="6" spans="1:10" s="47" customFormat="1" ht="24.75" customHeight="1" x14ac:dyDescent="0.2">
      <c r="A6" s="41"/>
      <c r="B6" s="42"/>
      <c r="C6" s="48"/>
      <c r="D6" s="44"/>
      <c r="E6" s="45"/>
      <c r="F6" s="46"/>
      <c r="G6" s="46"/>
      <c r="H6" s="46"/>
    </row>
    <row r="7" spans="1:10" s="47" customFormat="1" ht="24.75" customHeight="1" x14ac:dyDescent="0.2">
      <c r="A7" s="49" t="s">
        <v>72</v>
      </c>
      <c r="B7" s="6"/>
      <c r="C7" s="10" t="s">
        <v>149</v>
      </c>
      <c r="D7" s="50" t="s">
        <v>73</v>
      </c>
      <c r="E7" s="50"/>
      <c r="F7" s="10" t="s">
        <v>151</v>
      </c>
      <c r="G7" s="10"/>
      <c r="H7" s="29"/>
    </row>
    <row r="8" spans="1:10" s="47" customFormat="1" ht="24.75" customHeight="1" x14ac:dyDescent="0.2">
      <c r="A8" s="49" t="s">
        <v>76</v>
      </c>
      <c r="B8" s="6"/>
      <c r="C8" s="10">
        <v>33844</v>
      </c>
      <c r="D8" s="50"/>
      <c r="E8" s="50"/>
      <c r="F8" s="29"/>
      <c r="G8" s="29"/>
      <c r="H8" s="29"/>
    </row>
    <row r="9" spans="1:10" s="47" customFormat="1" ht="24.75" customHeight="1" x14ac:dyDescent="0.2">
      <c r="A9" s="49" t="s">
        <v>78</v>
      </c>
      <c r="B9" s="6"/>
      <c r="C9" s="10" t="s">
        <v>152</v>
      </c>
      <c r="D9" s="50"/>
      <c r="E9" s="50"/>
      <c r="F9" s="29"/>
      <c r="G9" s="29"/>
      <c r="H9" s="29"/>
    </row>
    <row r="10" spans="1:10" s="47" customFormat="1" ht="34.5" customHeight="1" x14ac:dyDescent="0.2">
      <c r="A10" s="51" t="s">
        <v>147</v>
      </c>
      <c r="B10" s="52"/>
      <c r="C10" s="9" t="s">
        <v>148</v>
      </c>
      <c r="D10" s="44" t="s">
        <v>70</v>
      </c>
      <c r="E10" s="93">
        <v>22</v>
      </c>
      <c r="F10" s="46" t="s">
        <v>77</v>
      </c>
      <c r="G10" s="46"/>
      <c r="H10" s="46"/>
    </row>
    <row r="11" spans="1:10" s="32" customFormat="1" ht="9.75" customHeight="1" thickBot="1" x14ac:dyDescent="0.25">
      <c r="B11" s="33"/>
      <c r="C11" s="2"/>
      <c r="D11" s="34"/>
      <c r="E11" s="35"/>
      <c r="F11" s="36"/>
      <c r="G11" s="36"/>
      <c r="H11" s="36"/>
    </row>
    <row r="12" spans="1:10" s="32" customFormat="1" ht="21.75" customHeight="1" x14ac:dyDescent="0.2">
      <c r="A12" s="183" t="s">
        <v>5</v>
      </c>
      <c r="B12" s="185" t="s">
        <v>6</v>
      </c>
      <c r="C12" s="187" t="s">
        <v>7</v>
      </c>
      <c r="D12" s="189" t="s">
        <v>8</v>
      </c>
      <c r="E12" s="179" t="s">
        <v>56</v>
      </c>
      <c r="F12" s="191" t="s">
        <v>9</v>
      </c>
      <c r="G12" s="179" t="s">
        <v>10</v>
      </c>
      <c r="H12" s="181" t="s">
        <v>11</v>
      </c>
    </row>
    <row r="13" spans="1:10" s="32" customFormat="1" ht="16.5" customHeight="1" thickBot="1" x14ac:dyDescent="0.25">
      <c r="A13" s="184"/>
      <c r="B13" s="186"/>
      <c r="C13" s="188"/>
      <c r="D13" s="190"/>
      <c r="E13" s="192"/>
      <c r="F13" s="180"/>
      <c r="G13" s="180"/>
      <c r="H13" s="182"/>
    </row>
    <row r="14" spans="1:10" s="56" customFormat="1" ht="32.1" customHeight="1" thickTop="1" x14ac:dyDescent="0.2">
      <c r="A14" s="23"/>
      <c r="B14" s="11"/>
      <c r="C14" s="53" t="s">
        <v>66</v>
      </c>
      <c r="D14" s="53" t="s">
        <v>66</v>
      </c>
      <c r="E14" s="89"/>
      <c r="F14" s="12"/>
      <c r="G14" s="54" t="s">
        <v>66</v>
      </c>
      <c r="H14" s="55" t="str">
        <f>IF(ISBLANK(B14)," ",F14*G14)</f>
        <v xml:space="preserve"> </v>
      </c>
    </row>
    <row r="15" spans="1:10" s="60" customFormat="1" ht="32.1" customHeight="1" x14ac:dyDescent="0.2">
      <c r="A15" s="24" t="s">
        <v>85</v>
      </c>
      <c r="B15" s="13"/>
      <c r="C15" s="57" t="s">
        <v>61</v>
      </c>
      <c r="D15" s="57" t="s">
        <v>55</v>
      </c>
      <c r="E15" s="90"/>
      <c r="F15" s="14"/>
      <c r="G15" s="58"/>
      <c r="H15" s="59">
        <f>SUM(H19:H29)</f>
        <v>0</v>
      </c>
      <c r="J15" s="173">
        <f>ROUND(H15*1.2,2)</f>
        <v>0</v>
      </c>
    </row>
    <row r="16" spans="1:10" s="64" customFormat="1" ht="12" x14ac:dyDescent="0.2">
      <c r="A16" s="25"/>
      <c r="B16" s="15"/>
      <c r="C16" s="61" t="s">
        <v>79</v>
      </c>
      <c r="D16" s="61" t="s">
        <v>145</v>
      </c>
      <c r="E16" s="91">
        <v>2.14</v>
      </c>
      <c r="F16" s="17"/>
      <c r="G16" s="62" t="s">
        <v>66</v>
      </c>
      <c r="H16" s="63" t="str">
        <f>IF(ISBLANK(B16)," ",E16*G16)</f>
        <v xml:space="preserve"> </v>
      </c>
    </row>
    <row r="17" spans="1:10" s="64" customFormat="1" ht="13.9" customHeight="1" x14ac:dyDescent="0.2">
      <c r="A17" s="25"/>
      <c r="B17" s="15"/>
      <c r="C17" s="61" t="s">
        <v>62</v>
      </c>
      <c r="D17" s="61" t="s">
        <v>54</v>
      </c>
      <c r="E17" s="91">
        <v>1.94</v>
      </c>
      <c r="F17" s="17"/>
      <c r="G17" s="62" t="s">
        <v>66</v>
      </c>
      <c r="H17" s="63" t="str">
        <f>IF(ISBLANK(B17)," ",E17*G17)</f>
        <v xml:space="preserve"> </v>
      </c>
    </row>
    <row r="18" spans="1:10" s="64" customFormat="1" ht="32.1" customHeight="1" x14ac:dyDescent="0.2">
      <c r="A18" s="25"/>
      <c r="B18" s="15"/>
      <c r="C18" s="61" t="s">
        <v>53</v>
      </c>
      <c r="D18" s="61"/>
      <c r="E18" s="91"/>
      <c r="F18" s="16"/>
      <c r="G18" s="62"/>
      <c r="H18" s="63"/>
    </row>
    <row r="19" spans="1:10" s="56" customFormat="1" ht="32.1" customHeight="1" x14ac:dyDescent="0.2">
      <c r="A19" s="26" t="s">
        <v>86</v>
      </c>
      <c r="B19" s="18" t="s">
        <v>83</v>
      </c>
      <c r="C19" s="65" t="s">
        <v>84</v>
      </c>
      <c r="D19" s="65" t="s">
        <v>2</v>
      </c>
      <c r="E19" s="92">
        <f>TRUNC(+E17,2)</f>
        <v>1.94</v>
      </c>
      <c r="F19" s="150">
        <f t="shared" ref="F19:F29" si="0">+$F$15*E19</f>
        <v>0</v>
      </c>
      <c r="G19" s="66">
        <v>5.81</v>
      </c>
      <c r="H19" s="67">
        <f t="shared" ref="H19:H20" si="1">IF(ISBLANK(B19)," ",F19*G19)</f>
        <v>0</v>
      </c>
    </row>
    <row r="20" spans="1:10" s="56" customFormat="1" ht="32.1" customHeight="1" x14ac:dyDescent="0.2">
      <c r="A20" s="26" t="s">
        <v>89</v>
      </c>
      <c r="B20" s="18" t="s">
        <v>14</v>
      </c>
      <c r="C20" s="65" t="s">
        <v>15</v>
      </c>
      <c r="D20" s="65" t="s">
        <v>1</v>
      </c>
      <c r="E20" s="92">
        <f>TRUNC(+E19*0.3*0.1,2)</f>
        <v>0.05</v>
      </c>
      <c r="F20" s="150">
        <f t="shared" si="0"/>
        <v>0</v>
      </c>
      <c r="G20" s="66">
        <v>159.72</v>
      </c>
      <c r="H20" s="67">
        <f t="shared" si="1"/>
        <v>0</v>
      </c>
    </row>
    <row r="21" spans="1:10" s="56" customFormat="1" ht="32.1" customHeight="1" x14ac:dyDescent="0.2">
      <c r="A21" s="26" t="s">
        <v>91</v>
      </c>
      <c r="B21" s="18" t="s">
        <v>42</v>
      </c>
      <c r="C21" s="65" t="s">
        <v>43</v>
      </c>
      <c r="D21" s="65" t="s">
        <v>1</v>
      </c>
      <c r="E21" s="92">
        <f>TRUNC(2.14*(0.26-0.07),2)</f>
        <v>0.4</v>
      </c>
      <c r="F21" s="150">
        <f t="shared" si="0"/>
        <v>0</v>
      </c>
      <c r="G21" s="66">
        <v>43.56</v>
      </c>
      <c r="H21" s="67">
        <f>IF(ISBLANK(B21)," ",F21*G21)</f>
        <v>0</v>
      </c>
    </row>
    <row r="22" spans="1:10" s="56" customFormat="1" ht="32.1" customHeight="1" x14ac:dyDescent="0.2">
      <c r="A22" s="26" t="s">
        <v>92</v>
      </c>
      <c r="B22" s="18" t="s">
        <v>40</v>
      </c>
      <c r="C22" s="65" t="s">
        <v>41</v>
      </c>
      <c r="D22" s="65" t="s">
        <v>1</v>
      </c>
      <c r="E22" s="92">
        <f>TRUNC((+E21*1.3)+(E20+E19*0.15*0.46)*1.2,2)</f>
        <v>0.74</v>
      </c>
      <c r="F22" s="150">
        <f t="shared" si="0"/>
        <v>0</v>
      </c>
      <c r="G22" s="66">
        <v>86.9</v>
      </c>
      <c r="H22" s="67">
        <f>IF(ISBLANK(B22)," ",F22*G22)</f>
        <v>0</v>
      </c>
    </row>
    <row r="23" spans="1:10" s="56" customFormat="1" ht="32.1" customHeight="1" x14ac:dyDescent="0.2">
      <c r="A23" s="26" t="s">
        <v>93</v>
      </c>
      <c r="B23" s="18" t="s">
        <v>46</v>
      </c>
      <c r="C23" s="65" t="s">
        <v>47</v>
      </c>
      <c r="D23" s="65" t="s">
        <v>1</v>
      </c>
      <c r="E23" s="92">
        <f>TRUNC(E16*0.03,2)</f>
        <v>0.06</v>
      </c>
      <c r="F23" s="150">
        <f t="shared" si="0"/>
        <v>0</v>
      </c>
      <c r="G23" s="66">
        <v>135.91999999999999</v>
      </c>
      <c r="H23" s="67">
        <f>IF(ISBLANK(B23)," ",F23*G23)</f>
        <v>0</v>
      </c>
    </row>
    <row r="24" spans="1:10" s="56" customFormat="1" ht="32.1" customHeight="1" x14ac:dyDescent="0.2">
      <c r="A24" s="26" t="s">
        <v>94</v>
      </c>
      <c r="B24" s="18" t="s">
        <v>44</v>
      </c>
      <c r="C24" s="65" t="s">
        <v>45</v>
      </c>
      <c r="D24" s="65" t="s">
        <v>0</v>
      </c>
      <c r="E24" s="92">
        <f>TRUNC(0.97*E16,2)</f>
        <v>2.0699999999999998</v>
      </c>
      <c r="F24" s="150">
        <f t="shared" si="0"/>
        <v>0</v>
      </c>
      <c r="G24" s="66">
        <v>13.71</v>
      </c>
      <c r="H24" s="67">
        <f t="shared" ref="H24" si="2">IF(ISBLANK(B24)," ",F24*G24)</f>
        <v>0</v>
      </c>
    </row>
    <row r="25" spans="1:10" s="56" customFormat="1" ht="32.1" customHeight="1" x14ac:dyDescent="0.2">
      <c r="A25" s="26" t="s">
        <v>95</v>
      </c>
      <c r="B25" s="18" t="s">
        <v>140</v>
      </c>
      <c r="C25" s="65" t="s">
        <v>141</v>
      </c>
      <c r="D25" s="65" t="s">
        <v>1</v>
      </c>
      <c r="E25" s="92">
        <f>TRUNC(E16*0.07,2)</f>
        <v>0.14000000000000001</v>
      </c>
      <c r="F25" s="150">
        <f t="shared" si="0"/>
        <v>0</v>
      </c>
      <c r="G25" s="66">
        <v>768.54</v>
      </c>
      <c r="H25" s="67">
        <f>IF(ISBLANK(B25)," ",F25*G25)</f>
        <v>0</v>
      </c>
    </row>
    <row r="26" spans="1:10" s="56" customFormat="1" ht="32.1" customHeight="1" x14ac:dyDescent="0.2">
      <c r="A26" s="26" t="s">
        <v>96</v>
      </c>
      <c r="B26" s="18" t="s">
        <v>50</v>
      </c>
      <c r="C26" s="65" t="s">
        <v>51</v>
      </c>
      <c r="D26" s="65" t="s">
        <v>4</v>
      </c>
      <c r="E26" s="92">
        <f>TRUNC(E16-E27,2)</f>
        <v>1.6</v>
      </c>
      <c r="F26" s="150">
        <f t="shared" si="0"/>
        <v>0</v>
      </c>
      <c r="G26" s="66">
        <v>25.71</v>
      </c>
      <c r="H26" s="67">
        <f t="shared" ref="H26" si="3">IF(ISBLANK(B26)," ",F26*G26)</f>
        <v>0</v>
      </c>
    </row>
    <row r="27" spans="1:10" s="56" customFormat="1" ht="32.1" customHeight="1" x14ac:dyDescent="0.2">
      <c r="A27" s="26" t="s">
        <v>97</v>
      </c>
      <c r="B27" s="18" t="s">
        <v>67</v>
      </c>
      <c r="C27" s="65" t="s">
        <v>68</v>
      </c>
      <c r="D27" s="65" t="s">
        <v>4</v>
      </c>
      <c r="E27" s="92">
        <f>TRUNC(0.3*1.2+2*0.3*0.3,2)</f>
        <v>0.54</v>
      </c>
      <c r="F27" s="150">
        <f t="shared" si="0"/>
        <v>0</v>
      </c>
      <c r="G27" s="66">
        <v>174.23</v>
      </c>
      <c r="H27" s="67">
        <f t="shared" ref="H27:H28" si="4">IF(ISBLANK(B27)," ",F27*G27)</f>
        <v>0</v>
      </c>
    </row>
    <row r="28" spans="1:10" s="56" customFormat="1" ht="32.1" customHeight="1" x14ac:dyDescent="0.2">
      <c r="A28" s="26" t="s">
        <v>98</v>
      </c>
      <c r="B28" s="18" t="s">
        <v>138</v>
      </c>
      <c r="C28" s="65" t="s">
        <v>139</v>
      </c>
      <c r="D28" s="65" t="s">
        <v>1</v>
      </c>
      <c r="E28" s="92">
        <f>TRUNC(+E19*0.3*0.1,2)</f>
        <v>0.05</v>
      </c>
      <c r="F28" s="150">
        <f t="shared" si="0"/>
        <v>0</v>
      </c>
      <c r="G28" s="66">
        <v>460.68</v>
      </c>
      <c r="H28" s="67">
        <f t="shared" si="4"/>
        <v>0</v>
      </c>
    </row>
    <row r="29" spans="1:10" s="56" customFormat="1" ht="32.1" customHeight="1" x14ac:dyDescent="0.2">
      <c r="A29" s="26" t="s">
        <v>99</v>
      </c>
      <c r="B29" s="18" t="s">
        <v>80</v>
      </c>
      <c r="C29" s="65" t="s">
        <v>81</v>
      </c>
      <c r="D29" s="65" t="s">
        <v>2</v>
      </c>
      <c r="E29" s="92">
        <f>+E19</f>
        <v>1.94</v>
      </c>
      <c r="F29" s="150">
        <f t="shared" si="0"/>
        <v>0</v>
      </c>
      <c r="G29" s="66">
        <v>16.989999999999998</v>
      </c>
      <c r="H29" s="67">
        <f>IF(ISBLANK(B29)," ",F29*G29)</f>
        <v>0</v>
      </c>
    </row>
    <row r="30" spans="1:10" s="56" customFormat="1" ht="32.1" customHeight="1" x14ac:dyDescent="0.2">
      <c r="A30" s="26"/>
      <c r="B30" s="18"/>
      <c r="C30" s="65" t="s">
        <v>66</v>
      </c>
      <c r="D30" s="65" t="s">
        <v>66</v>
      </c>
      <c r="E30" s="92"/>
      <c r="F30" s="17"/>
      <c r="G30" s="66"/>
      <c r="H30" s="67" t="str">
        <f>IF(ISBLANK(B30)," ",F30*G30)</f>
        <v xml:space="preserve"> </v>
      </c>
    </row>
    <row r="31" spans="1:10" s="60" customFormat="1" ht="32.1" customHeight="1" x14ac:dyDescent="0.2">
      <c r="A31" s="24" t="s">
        <v>100</v>
      </c>
      <c r="B31" s="13"/>
      <c r="C31" s="57" t="s">
        <v>150</v>
      </c>
      <c r="D31" s="57" t="s">
        <v>55</v>
      </c>
      <c r="E31" s="90"/>
      <c r="F31" s="14">
        <v>28</v>
      </c>
      <c r="G31" s="58"/>
      <c r="H31" s="59">
        <f>SUM(H35:H45)</f>
        <v>31228.0556</v>
      </c>
      <c r="J31" s="173"/>
    </row>
    <row r="32" spans="1:10" s="70" customFormat="1" ht="15" customHeight="1" x14ac:dyDescent="0.2">
      <c r="A32" s="27"/>
      <c r="B32" s="20"/>
      <c r="C32" s="61" t="s">
        <v>57</v>
      </c>
      <c r="D32" s="61" t="s">
        <v>54</v>
      </c>
      <c r="E32" s="91">
        <v>1.05</v>
      </c>
      <c r="F32" s="21"/>
      <c r="G32" s="68"/>
      <c r="H32" s="69" t="str">
        <f>IF(ISBLANK(B32)," ",E32*G32)</f>
        <v xml:space="preserve"> </v>
      </c>
    </row>
    <row r="33" spans="1:11" s="70" customFormat="1" ht="15" customHeight="1" x14ac:dyDescent="0.2">
      <c r="A33" s="27"/>
      <c r="B33" s="20"/>
      <c r="C33" s="61" t="s">
        <v>58</v>
      </c>
      <c r="D33" s="61" t="s">
        <v>54</v>
      </c>
      <c r="E33" s="91">
        <v>5.7</v>
      </c>
      <c r="F33" s="21"/>
      <c r="G33" s="68"/>
      <c r="H33" s="69" t="str">
        <f>IF(ISBLANK(B33)," ",E33*G33)</f>
        <v xml:space="preserve"> </v>
      </c>
    </row>
    <row r="34" spans="1:11" s="64" customFormat="1" ht="32.1" customHeight="1" x14ac:dyDescent="0.2">
      <c r="A34" s="25"/>
      <c r="B34" s="15"/>
      <c r="C34" s="61" t="s">
        <v>53</v>
      </c>
      <c r="D34" s="61"/>
      <c r="E34" s="91"/>
      <c r="F34" s="16"/>
      <c r="G34" s="62"/>
      <c r="H34" s="63"/>
      <c r="K34" s="175"/>
    </row>
    <row r="35" spans="1:11" s="56" customFormat="1" ht="32.1" customHeight="1" x14ac:dyDescent="0.2">
      <c r="A35" s="26" t="s">
        <v>101</v>
      </c>
      <c r="B35" s="18" t="s">
        <v>83</v>
      </c>
      <c r="C35" s="65" t="s">
        <v>84</v>
      </c>
      <c r="D35" s="65" t="s">
        <v>2</v>
      </c>
      <c r="E35" s="92">
        <f>TRUNC(+E33,2)</f>
        <v>5.7</v>
      </c>
      <c r="F35" s="150">
        <f t="shared" ref="F35:F45" si="5">+E35*$F$31</f>
        <v>159.6</v>
      </c>
      <c r="G35" s="66">
        <v>5.81</v>
      </c>
      <c r="H35" s="67">
        <f t="shared" ref="H35:H53" si="6">IF(ISBLANK(B35)," ",F35*G35)</f>
        <v>927.27599999999995</v>
      </c>
    </row>
    <row r="36" spans="1:11" s="56" customFormat="1" ht="32.1" customHeight="1" x14ac:dyDescent="0.2">
      <c r="A36" s="26" t="s">
        <v>87</v>
      </c>
      <c r="B36" s="18" t="s">
        <v>14</v>
      </c>
      <c r="C36" s="65" t="s">
        <v>15</v>
      </c>
      <c r="D36" s="65" t="s">
        <v>1</v>
      </c>
      <c r="E36" s="92">
        <f>TRUNC(+E35*0.3*0.1,2)</f>
        <v>0.17</v>
      </c>
      <c r="F36" s="150">
        <f t="shared" si="5"/>
        <v>4.7600000000000007</v>
      </c>
      <c r="G36" s="66">
        <v>159.72</v>
      </c>
      <c r="H36" s="67">
        <f t="shared" ref="H36" si="7">IF(ISBLANK(B36)," ",F36*G36)</f>
        <v>760.26720000000012</v>
      </c>
    </row>
    <row r="37" spans="1:11" s="56" customFormat="1" ht="32.1" customHeight="1" x14ac:dyDescent="0.2">
      <c r="A37" s="26" t="s">
        <v>102</v>
      </c>
      <c r="B37" s="18" t="s">
        <v>42</v>
      </c>
      <c r="C37" s="65" t="s">
        <v>43</v>
      </c>
      <c r="D37" s="65" t="s">
        <v>1</v>
      </c>
      <c r="E37" s="92">
        <f>TRUNC(+(0.3*0.4)*5.7+(E33*E32)*(0.26-0.07),2)</f>
        <v>1.82</v>
      </c>
      <c r="F37" s="150">
        <f t="shared" si="5"/>
        <v>50.96</v>
      </c>
      <c r="G37" s="66">
        <v>43.56</v>
      </c>
      <c r="H37" s="67">
        <f t="shared" si="6"/>
        <v>2219.8176000000003</v>
      </c>
    </row>
    <row r="38" spans="1:11" s="56" customFormat="1" ht="32.1" customHeight="1" x14ac:dyDescent="0.2">
      <c r="A38" s="26" t="s">
        <v>103</v>
      </c>
      <c r="B38" s="18" t="s">
        <v>40</v>
      </c>
      <c r="C38" s="65" t="s">
        <v>41</v>
      </c>
      <c r="D38" s="65" t="s">
        <v>1</v>
      </c>
      <c r="E38" s="92">
        <f>TRUNC((+E37*1.3)+(E36+E35*0.15*0.46)*1.2,2)</f>
        <v>3.04</v>
      </c>
      <c r="F38" s="150">
        <f t="shared" si="5"/>
        <v>85.12</v>
      </c>
      <c r="G38" s="66">
        <v>86.9</v>
      </c>
      <c r="H38" s="67">
        <f t="shared" si="6"/>
        <v>7396.9280000000008</v>
      </c>
    </row>
    <row r="39" spans="1:11" s="56" customFormat="1" ht="32.1" customHeight="1" x14ac:dyDescent="0.2">
      <c r="A39" s="26" t="s">
        <v>104</v>
      </c>
      <c r="B39" s="18" t="s">
        <v>46</v>
      </c>
      <c r="C39" s="65" t="s">
        <v>47</v>
      </c>
      <c r="D39" s="65" t="s">
        <v>1</v>
      </c>
      <c r="E39" s="92">
        <f>TRUNC(+E33*E32*0.03,2)</f>
        <v>0.17</v>
      </c>
      <c r="F39" s="150">
        <f t="shared" si="5"/>
        <v>4.7600000000000007</v>
      </c>
      <c r="G39" s="66">
        <v>135.91999999999999</v>
      </c>
      <c r="H39" s="67">
        <f t="shared" si="6"/>
        <v>646.97919999999999</v>
      </c>
    </row>
    <row r="40" spans="1:11" s="56" customFormat="1" ht="32.1" customHeight="1" x14ac:dyDescent="0.2">
      <c r="A40" s="26" t="s">
        <v>105</v>
      </c>
      <c r="B40" s="18" t="s">
        <v>44</v>
      </c>
      <c r="C40" s="65" t="s">
        <v>45</v>
      </c>
      <c r="D40" s="65" t="s">
        <v>0</v>
      </c>
      <c r="E40" s="92">
        <f>TRUNC(0.97*E33*E32,2)</f>
        <v>5.8</v>
      </c>
      <c r="F40" s="150">
        <f t="shared" si="5"/>
        <v>162.4</v>
      </c>
      <c r="G40" s="66">
        <v>13.71</v>
      </c>
      <c r="H40" s="67">
        <f t="shared" si="6"/>
        <v>2226.5040000000004</v>
      </c>
    </row>
    <row r="41" spans="1:11" s="56" customFormat="1" ht="32.1" customHeight="1" x14ac:dyDescent="0.2">
      <c r="A41" s="26" t="s">
        <v>106</v>
      </c>
      <c r="B41" s="18" t="s">
        <v>140</v>
      </c>
      <c r="C41" s="65" t="s">
        <v>141</v>
      </c>
      <c r="D41" s="65" t="s">
        <v>1</v>
      </c>
      <c r="E41" s="92">
        <f>TRUNC(++E33*E32*0.05,2)</f>
        <v>0.28999999999999998</v>
      </c>
      <c r="F41" s="150">
        <f t="shared" si="5"/>
        <v>8.1199999999999992</v>
      </c>
      <c r="G41" s="66">
        <v>768.54</v>
      </c>
      <c r="H41" s="67">
        <f t="shared" si="6"/>
        <v>6240.5447999999988</v>
      </c>
    </row>
    <row r="42" spans="1:11" s="56" customFormat="1" ht="32.1" customHeight="1" x14ac:dyDescent="0.2">
      <c r="A42" s="26" t="s">
        <v>107</v>
      </c>
      <c r="B42" s="18" t="s">
        <v>50</v>
      </c>
      <c r="C42" s="65" t="s">
        <v>51</v>
      </c>
      <c r="D42" s="65" t="s">
        <v>4</v>
      </c>
      <c r="E42" s="92">
        <f>TRUNC(E32*E33-E43,2)</f>
        <v>4.99</v>
      </c>
      <c r="F42" s="150">
        <f t="shared" si="5"/>
        <v>139.72</v>
      </c>
      <c r="G42" s="66">
        <v>25.71</v>
      </c>
      <c r="H42" s="67">
        <f t="shared" si="6"/>
        <v>3592.2012</v>
      </c>
    </row>
    <row r="43" spans="1:11" s="71" customFormat="1" ht="32.1" customHeight="1" x14ac:dyDescent="0.2">
      <c r="A43" s="26" t="s">
        <v>108</v>
      </c>
      <c r="B43" s="18" t="s">
        <v>67</v>
      </c>
      <c r="C43" s="65" t="s">
        <v>68</v>
      </c>
      <c r="D43" s="65" t="s">
        <v>4</v>
      </c>
      <c r="E43" s="92">
        <f>TRUNC(0.3*((1.05-0.15)*2+1.5),2)</f>
        <v>0.99</v>
      </c>
      <c r="F43" s="150">
        <f t="shared" si="5"/>
        <v>27.72</v>
      </c>
      <c r="G43" s="66">
        <v>174.23</v>
      </c>
      <c r="H43" s="67">
        <f t="shared" ref="H43:H44" si="8">IF(ISBLANK(B43)," ",F43*G43)</f>
        <v>4829.6555999999991</v>
      </c>
    </row>
    <row r="44" spans="1:11" s="56" customFormat="1" ht="32.1" customHeight="1" x14ac:dyDescent="0.2">
      <c r="A44" s="26" t="s">
        <v>109</v>
      </c>
      <c r="B44" s="18" t="s">
        <v>138</v>
      </c>
      <c r="C44" s="65" t="s">
        <v>139</v>
      </c>
      <c r="D44" s="65" t="s">
        <v>1</v>
      </c>
      <c r="E44" s="92">
        <f>TRUNC(+E35*0.3*0.1,2)</f>
        <v>0.17</v>
      </c>
      <c r="F44" s="150">
        <f t="shared" si="5"/>
        <v>4.7600000000000007</v>
      </c>
      <c r="G44" s="66">
        <v>460.68</v>
      </c>
      <c r="H44" s="67">
        <f t="shared" si="8"/>
        <v>2192.8368000000005</v>
      </c>
    </row>
    <row r="45" spans="1:11" s="56" customFormat="1" ht="32.1" customHeight="1" x14ac:dyDescent="0.2">
      <c r="A45" s="26" t="s">
        <v>144</v>
      </c>
      <c r="B45" s="18" t="s">
        <v>80</v>
      </c>
      <c r="C45" s="65" t="s">
        <v>81</v>
      </c>
      <c r="D45" s="65" t="s">
        <v>2</v>
      </c>
      <c r="E45" s="92">
        <f>TRUNC(+E35*(0.3*0.1+0.3*0.14),2)</f>
        <v>0.41</v>
      </c>
      <c r="F45" s="150">
        <f t="shared" si="5"/>
        <v>11.479999999999999</v>
      </c>
      <c r="G45" s="66">
        <v>16.989999999999998</v>
      </c>
      <c r="H45" s="67">
        <f>IF(ISBLANK(B45)," ",F45*G45)</f>
        <v>195.04519999999997</v>
      </c>
    </row>
    <row r="46" spans="1:11" s="56" customFormat="1" ht="32.1" customHeight="1" x14ac:dyDescent="0.2">
      <c r="A46" s="26"/>
      <c r="B46" s="18"/>
      <c r="C46" s="65"/>
      <c r="D46" s="65"/>
      <c r="E46" s="92"/>
      <c r="F46" s="19"/>
      <c r="G46" s="66">
        <v>0</v>
      </c>
      <c r="H46" s="67"/>
    </row>
    <row r="47" spans="1:11" s="60" customFormat="1" ht="32.1" customHeight="1" x14ac:dyDescent="0.2">
      <c r="A47" s="24" t="s">
        <v>110</v>
      </c>
      <c r="B47" s="13"/>
      <c r="C47" s="57" t="s">
        <v>59</v>
      </c>
      <c r="D47" s="57" t="s">
        <v>4</v>
      </c>
      <c r="E47" s="90"/>
      <c r="F47" s="14">
        <v>1044.32</v>
      </c>
      <c r="G47" s="58">
        <v>0</v>
      </c>
      <c r="H47" s="59">
        <f>SUM(H48:H53)</f>
        <v>122689.533264</v>
      </c>
      <c r="J47" s="173"/>
      <c r="K47" s="176"/>
    </row>
    <row r="48" spans="1:11" s="56" customFormat="1" ht="32.1" customHeight="1" x14ac:dyDescent="0.2">
      <c r="A48" s="26" t="s">
        <v>111</v>
      </c>
      <c r="B48" s="18" t="s">
        <v>14</v>
      </c>
      <c r="C48" s="65" t="s">
        <v>15</v>
      </c>
      <c r="D48" s="65" t="s">
        <v>1</v>
      </c>
      <c r="E48" s="92">
        <f>TRUNC(1*0.08,2)</f>
        <v>0.08</v>
      </c>
      <c r="F48" s="150">
        <f t="shared" ref="F48:F52" si="9">+E48*$F$47</f>
        <v>83.545599999999993</v>
      </c>
      <c r="G48" s="66">
        <v>159.72</v>
      </c>
      <c r="H48" s="67">
        <f t="shared" ref="H48" si="10">IF(ISBLANK(B48)," ",F48*G48)</f>
        <v>13343.903231999999</v>
      </c>
    </row>
    <row r="49" spans="1:11" s="56" customFormat="1" ht="32.1" customHeight="1" x14ac:dyDescent="0.2">
      <c r="A49" s="26" t="s">
        <v>112</v>
      </c>
      <c r="B49" s="18" t="s">
        <v>40</v>
      </c>
      <c r="C49" s="65" t="s">
        <v>41</v>
      </c>
      <c r="D49" s="65" t="s">
        <v>1</v>
      </c>
      <c r="E49" s="92">
        <f>TRUNC(1.2*E48,2)</f>
        <v>0.09</v>
      </c>
      <c r="F49" s="150">
        <f t="shared" si="9"/>
        <v>93.988799999999998</v>
      </c>
      <c r="G49" s="66">
        <v>86.9</v>
      </c>
      <c r="H49" s="67">
        <f>IF(ISBLANK(B49)," ",F49*G49)</f>
        <v>8167.6267200000002</v>
      </c>
    </row>
    <row r="50" spans="1:11" s="56" customFormat="1" ht="32.1" customHeight="1" x14ac:dyDescent="0.2">
      <c r="A50" s="26" t="s">
        <v>88</v>
      </c>
      <c r="B50" s="18" t="s">
        <v>46</v>
      </c>
      <c r="C50" s="65" t="s">
        <v>47</v>
      </c>
      <c r="D50" s="65" t="s">
        <v>1</v>
      </c>
      <c r="E50" s="92">
        <f>TRUNC(1*0.03,2)</f>
        <v>0.03</v>
      </c>
      <c r="F50" s="150">
        <f t="shared" si="9"/>
        <v>31.329599999999996</v>
      </c>
      <c r="G50" s="66">
        <v>135.91999999999999</v>
      </c>
      <c r="H50" s="67">
        <f>IF(ISBLANK(B50)," ",F50*G50)</f>
        <v>4258.3192319999989</v>
      </c>
    </row>
    <row r="51" spans="1:11" s="56" customFormat="1" ht="32.1" customHeight="1" x14ac:dyDescent="0.2">
      <c r="A51" s="26" t="s">
        <v>113</v>
      </c>
      <c r="B51" s="18" t="s">
        <v>44</v>
      </c>
      <c r="C51" s="65" t="s">
        <v>45</v>
      </c>
      <c r="D51" s="65" t="s">
        <v>0</v>
      </c>
      <c r="E51" s="92">
        <f>TRUNC(1*0.97,2)</f>
        <v>0.97</v>
      </c>
      <c r="F51" s="150">
        <f>+E51*$F$47</f>
        <v>1012.9903999999999</v>
      </c>
      <c r="G51" s="66">
        <v>13.71</v>
      </c>
      <c r="H51" s="67">
        <f t="shared" ref="H51" si="11">IF(ISBLANK(B51)," ",F51*G51)</f>
        <v>13888.098383999999</v>
      </c>
    </row>
    <row r="52" spans="1:11" s="56" customFormat="1" ht="32.1" customHeight="1" x14ac:dyDescent="0.2">
      <c r="A52" s="26" t="s">
        <v>114</v>
      </c>
      <c r="B52" s="18" t="s">
        <v>140</v>
      </c>
      <c r="C52" s="65" t="s">
        <v>141</v>
      </c>
      <c r="D52" s="65" t="s">
        <v>1</v>
      </c>
      <c r="E52" s="92">
        <f>TRUNC(1*0.07,2)</f>
        <v>7.0000000000000007E-2</v>
      </c>
      <c r="F52" s="150">
        <f t="shared" si="9"/>
        <v>73.102400000000003</v>
      </c>
      <c r="G52" s="66">
        <v>768.54</v>
      </c>
      <c r="H52" s="67">
        <f>IF(ISBLANK(B52)," ",F52*G52)</f>
        <v>56182.118496000003</v>
      </c>
    </row>
    <row r="53" spans="1:11" s="56" customFormat="1" ht="32.1" customHeight="1" x14ac:dyDescent="0.2">
      <c r="A53" s="26" t="s">
        <v>115</v>
      </c>
      <c r="B53" s="18" t="s">
        <v>50</v>
      </c>
      <c r="C53" s="65" t="s">
        <v>51</v>
      </c>
      <c r="D53" s="65" t="s">
        <v>4</v>
      </c>
      <c r="E53" s="92">
        <v>1</v>
      </c>
      <c r="F53" s="150">
        <f>+E53*$F$47</f>
        <v>1044.32</v>
      </c>
      <c r="G53" s="66">
        <v>25.71</v>
      </c>
      <c r="H53" s="67">
        <f t="shared" si="6"/>
        <v>26849.467199999999</v>
      </c>
    </row>
    <row r="54" spans="1:11" s="56" customFormat="1" ht="32.1" customHeight="1" x14ac:dyDescent="0.2">
      <c r="A54" s="26"/>
      <c r="B54" s="18"/>
      <c r="C54" s="65"/>
      <c r="D54" s="65"/>
      <c r="E54" s="92"/>
      <c r="F54" s="19"/>
      <c r="G54" s="66">
        <v>0</v>
      </c>
      <c r="H54" s="67"/>
    </row>
    <row r="55" spans="1:11" s="60" customFormat="1" ht="32.1" customHeight="1" x14ac:dyDescent="0.2">
      <c r="A55" s="24" t="s">
        <v>116</v>
      </c>
      <c r="B55" s="13"/>
      <c r="C55" s="57" t="s">
        <v>63</v>
      </c>
      <c r="D55" s="57" t="s">
        <v>2</v>
      </c>
      <c r="E55" s="90"/>
      <c r="F55" s="14">
        <v>503.33</v>
      </c>
      <c r="G55" s="58">
        <v>0</v>
      </c>
      <c r="H55" s="59">
        <f>SUM(H56)</f>
        <v>26308.555769999999</v>
      </c>
      <c r="J55" s="173"/>
      <c r="K55" s="176"/>
    </row>
    <row r="56" spans="1:11" s="56" customFormat="1" ht="32.1" customHeight="1" x14ac:dyDescent="0.2">
      <c r="A56" s="26" t="s">
        <v>118</v>
      </c>
      <c r="B56" s="18" t="s">
        <v>67</v>
      </c>
      <c r="C56" s="65" t="s">
        <v>68</v>
      </c>
      <c r="D56" s="65" t="s">
        <v>4</v>
      </c>
      <c r="E56" s="92">
        <v>0.3</v>
      </c>
      <c r="F56" s="150">
        <f>+E56*$F$55</f>
        <v>150.999</v>
      </c>
      <c r="G56" s="66">
        <v>174.23</v>
      </c>
      <c r="H56" s="67">
        <f t="shared" ref="H56" si="12">IF(ISBLANK(B56)," ",F56*G56)</f>
        <v>26308.555769999999</v>
      </c>
    </row>
    <row r="57" spans="1:11" s="56" customFormat="1" ht="32.1" customHeight="1" x14ac:dyDescent="0.2">
      <c r="A57" s="26"/>
      <c r="B57" s="18"/>
      <c r="C57" s="65" t="s">
        <v>66</v>
      </c>
      <c r="D57" s="65" t="s">
        <v>66</v>
      </c>
      <c r="E57" s="92"/>
      <c r="F57" s="17"/>
      <c r="G57" s="66"/>
      <c r="H57" s="67" t="str">
        <f t="shared" ref="H57:H80" si="13">IF(ISBLANK(B57)," ",F57*G57)</f>
        <v xml:space="preserve"> </v>
      </c>
    </row>
    <row r="58" spans="1:11" s="60" customFormat="1" ht="32.1" customHeight="1" x14ac:dyDescent="0.2">
      <c r="A58" s="24" t="s">
        <v>117</v>
      </c>
      <c r="B58" s="13"/>
      <c r="C58" s="57" t="s">
        <v>64</v>
      </c>
      <c r="D58" s="57" t="s">
        <v>2</v>
      </c>
      <c r="E58" s="90"/>
      <c r="F58" s="14">
        <v>416.57</v>
      </c>
      <c r="G58" s="58">
        <v>0</v>
      </c>
      <c r="H58" s="59">
        <f>SUM(H59:H62)</f>
        <v>28069.986251999995</v>
      </c>
      <c r="J58" s="173"/>
      <c r="K58" s="176"/>
    </row>
    <row r="59" spans="1:11" s="56" customFormat="1" ht="32.1" customHeight="1" x14ac:dyDescent="0.2">
      <c r="A59" s="26" t="s">
        <v>119</v>
      </c>
      <c r="B59" s="18" t="s">
        <v>14</v>
      </c>
      <c r="C59" s="65" t="s">
        <v>15</v>
      </c>
      <c r="D59" s="65" t="s">
        <v>1</v>
      </c>
      <c r="E59" s="92">
        <f>1*0.03</f>
        <v>0.03</v>
      </c>
      <c r="F59" s="150">
        <f>+E59*$F$58</f>
        <v>12.4971</v>
      </c>
      <c r="G59" s="66">
        <v>159.72</v>
      </c>
      <c r="H59" s="67">
        <f t="shared" ref="H59" si="14">IF(ISBLANK(B59)," ",F59*G59)</f>
        <v>1996.0368119999998</v>
      </c>
    </row>
    <row r="60" spans="1:11" s="56" customFormat="1" ht="32.1" customHeight="1" x14ac:dyDescent="0.2">
      <c r="A60" s="26" t="s">
        <v>120</v>
      </c>
      <c r="B60" s="18" t="s">
        <v>40</v>
      </c>
      <c r="C60" s="65" t="s">
        <v>41</v>
      </c>
      <c r="D60" s="65" t="s">
        <v>1</v>
      </c>
      <c r="E60" s="92">
        <f>TRUNC(1.2*E59,2)</f>
        <v>0.03</v>
      </c>
      <c r="F60" s="150">
        <f t="shared" ref="F60:F62" si="15">+E60*$F$58</f>
        <v>12.4971</v>
      </c>
      <c r="G60" s="66">
        <v>86.9</v>
      </c>
      <c r="H60" s="67">
        <f>IF(ISBLANK(B60)," ",F60*G60)</f>
        <v>1085.9979900000001</v>
      </c>
    </row>
    <row r="61" spans="1:11" s="56" customFormat="1" ht="32.1" customHeight="1" x14ac:dyDescent="0.2">
      <c r="A61" s="26" t="s">
        <v>121</v>
      </c>
      <c r="B61" s="18" t="s">
        <v>48</v>
      </c>
      <c r="C61" s="65" t="s">
        <v>49</v>
      </c>
      <c r="D61" s="65" t="s">
        <v>4</v>
      </c>
      <c r="E61" s="92">
        <v>0.3</v>
      </c>
      <c r="F61" s="150">
        <f t="shared" si="15"/>
        <v>124.97099999999999</v>
      </c>
      <c r="G61" s="66">
        <v>25.72</v>
      </c>
      <c r="H61" s="67">
        <f>IF(ISBLANK(B61)," ",F61*G61)</f>
        <v>3214.2541199999996</v>
      </c>
    </row>
    <row r="62" spans="1:11" s="56" customFormat="1" ht="32.1" customHeight="1" x14ac:dyDescent="0.2">
      <c r="A62" s="26" t="s">
        <v>122</v>
      </c>
      <c r="B62" s="18" t="s">
        <v>67</v>
      </c>
      <c r="C62" s="65" t="s">
        <v>68</v>
      </c>
      <c r="D62" s="65" t="s">
        <v>4</v>
      </c>
      <c r="E62" s="92">
        <v>0.3</v>
      </c>
      <c r="F62" s="150">
        <f t="shared" si="15"/>
        <v>124.97099999999999</v>
      </c>
      <c r="G62" s="66">
        <v>174.23</v>
      </c>
      <c r="H62" s="67">
        <f t="shared" ref="H62" si="16">IF(ISBLANK(B62)," ",F62*G62)</f>
        <v>21773.697329999995</v>
      </c>
    </row>
    <row r="63" spans="1:11" s="56" customFormat="1" ht="32.1" customHeight="1" x14ac:dyDescent="0.2">
      <c r="A63" s="26"/>
      <c r="B63" s="18"/>
      <c r="C63" s="65"/>
      <c r="D63" s="65"/>
      <c r="E63" s="17"/>
      <c r="F63" s="19"/>
      <c r="G63" s="66">
        <v>0</v>
      </c>
      <c r="H63" s="67"/>
    </row>
    <row r="64" spans="1:11" s="60" customFormat="1" ht="32.1" customHeight="1" x14ac:dyDescent="0.2">
      <c r="A64" s="24" t="s">
        <v>90</v>
      </c>
      <c r="B64" s="13"/>
      <c r="C64" s="57" t="s">
        <v>146</v>
      </c>
      <c r="D64" s="57"/>
      <c r="E64" s="22"/>
      <c r="F64" s="22"/>
      <c r="G64" s="58">
        <v>0</v>
      </c>
      <c r="H64" s="59">
        <f>SUM(H65:H80)</f>
        <v>3449.1995999999995</v>
      </c>
      <c r="J64" s="173"/>
      <c r="K64" s="176"/>
    </row>
    <row r="65" spans="1:8" s="56" customFormat="1" ht="32.1" customHeight="1" x14ac:dyDescent="0.2">
      <c r="A65" s="26" t="s">
        <v>123</v>
      </c>
      <c r="B65" s="18" t="s">
        <v>14</v>
      </c>
      <c r="C65" s="65" t="s">
        <v>15</v>
      </c>
      <c r="D65" s="65" t="s">
        <v>1</v>
      </c>
      <c r="E65" s="17"/>
      <c r="F65" s="151"/>
      <c r="G65" s="66">
        <v>159.72</v>
      </c>
      <c r="H65" s="67">
        <f t="shared" si="13"/>
        <v>0</v>
      </c>
    </row>
    <row r="66" spans="1:8" s="56" customFormat="1" ht="32.1" customHeight="1" x14ac:dyDescent="0.2">
      <c r="A66" s="26" t="s">
        <v>124</v>
      </c>
      <c r="B66" s="18" t="s">
        <v>16</v>
      </c>
      <c r="C66" s="65" t="s">
        <v>17</v>
      </c>
      <c r="D66" s="65" t="s">
        <v>1</v>
      </c>
      <c r="E66" s="17"/>
      <c r="F66" s="151"/>
      <c r="G66" s="66">
        <v>290.39999999999998</v>
      </c>
      <c r="H66" s="67">
        <f t="shared" si="13"/>
        <v>0</v>
      </c>
    </row>
    <row r="67" spans="1:8" s="56" customFormat="1" ht="32.1" customHeight="1" x14ac:dyDescent="0.2">
      <c r="A67" s="26" t="s">
        <v>125</v>
      </c>
      <c r="B67" s="18" t="s">
        <v>18</v>
      </c>
      <c r="C67" s="65" t="s">
        <v>19</v>
      </c>
      <c r="D67" s="65" t="s">
        <v>1</v>
      </c>
      <c r="E67" s="17"/>
      <c r="F67" s="151"/>
      <c r="G67" s="66">
        <v>493.5</v>
      </c>
      <c r="H67" s="67">
        <f t="shared" ref="H67" si="17">IF(ISBLANK(B67)," ",F67*G67)</f>
        <v>0</v>
      </c>
    </row>
    <row r="68" spans="1:8" s="56" customFormat="1" ht="32.1" customHeight="1" x14ac:dyDescent="0.2">
      <c r="A68" s="26" t="s">
        <v>125</v>
      </c>
      <c r="B68" s="18" t="s">
        <v>142</v>
      </c>
      <c r="C68" s="65" t="s">
        <v>143</v>
      </c>
      <c r="D68" s="65" t="s">
        <v>1</v>
      </c>
      <c r="E68" s="17"/>
      <c r="F68" s="151"/>
      <c r="G68" s="66">
        <v>270.52</v>
      </c>
      <c r="H68" s="67">
        <f t="shared" si="13"/>
        <v>0</v>
      </c>
    </row>
    <row r="69" spans="1:8" s="56" customFormat="1" ht="32.1" customHeight="1" x14ac:dyDescent="0.2">
      <c r="A69" s="26" t="s">
        <v>126</v>
      </c>
      <c r="B69" s="18" t="s">
        <v>20</v>
      </c>
      <c r="C69" s="65" t="s">
        <v>21</v>
      </c>
      <c r="D69" s="65" t="s">
        <v>4</v>
      </c>
      <c r="E69" s="17"/>
      <c r="F69" s="151"/>
      <c r="G69" s="66">
        <v>25.21</v>
      </c>
      <c r="H69" s="67">
        <f t="shared" si="13"/>
        <v>0</v>
      </c>
    </row>
    <row r="70" spans="1:8" s="56" customFormat="1" ht="32.1" customHeight="1" x14ac:dyDescent="0.2">
      <c r="A70" s="26" t="s">
        <v>127</v>
      </c>
      <c r="B70" s="18" t="s">
        <v>22</v>
      </c>
      <c r="C70" s="65" t="s">
        <v>23</v>
      </c>
      <c r="D70" s="65" t="s">
        <v>1</v>
      </c>
      <c r="E70" s="17"/>
      <c r="F70" s="151"/>
      <c r="G70" s="66">
        <v>266.41000000000003</v>
      </c>
      <c r="H70" s="67">
        <f t="shared" si="13"/>
        <v>0</v>
      </c>
    </row>
    <row r="71" spans="1:8" s="56" customFormat="1" ht="32.1" customHeight="1" x14ac:dyDescent="0.2">
      <c r="A71" s="26" t="s">
        <v>128</v>
      </c>
      <c r="B71" s="18" t="s">
        <v>24</v>
      </c>
      <c r="C71" s="65" t="s">
        <v>25</v>
      </c>
      <c r="D71" s="65" t="s">
        <v>4</v>
      </c>
      <c r="E71" s="17"/>
      <c r="F71" s="151"/>
      <c r="G71" s="66">
        <v>2.1800000000000002</v>
      </c>
      <c r="H71" s="67">
        <f t="shared" si="13"/>
        <v>0</v>
      </c>
    </row>
    <row r="72" spans="1:8" s="56" customFormat="1" ht="32.1" customHeight="1" x14ac:dyDescent="0.2">
      <c r="A72" s="26" t="s">
        <v>129</v>
      </c>
      <c r="B72" s="18" t="s">
        <v>26</v>
      </c>
      <c r="C72" s="65" t="s">
        <v>27</v>
      </c>
      <c r="D72" s="65" t="s">
        <v>4</v>
      </c>
      <c r="E72" s="17"/>
      <c r="F72" s="151"/>
      <c r="G72" s="66">
        <v>8.61</v>
      </c>
      <c r="H72" s="67">
        <f t="shared" si="13"/>
        <v>0</v>
      </c>
    </row>
    <row r="73" spans="1:8" s="56" customFormat="1" ht="32.1" customHeight="1" x14ac:dyDescent="0.2">
      <c r="A73" s="26" t="s">
        <v>130</v>
      </c>
      <c r="B73" s="18" t="s">
        <v>28</v>
      </c>
      <c r="C73" s="65" t="s">
        <v>29</v>
      </c>
      <c r="D73" s="65" t="s">
        <v>4</v>
      </c>
      <c r="E73" s="17"/>
      <c r="F73" s="151"/>
      <c r="G73" s="66">
        <v>9.5299999999999994</v>
      </c>
      <c r="H73" s="67">
        <f t="shared" si="13"/>
        <v>0</v>
      </c>
    </row>
    <row r="74" spans="1:8" s="56" customFormat="1" ht="32.1" customHeight="1" x14ac:dyDescent="0.2">
      <c r="A74" s="26" t="s">
        <v>131</v>
      </c>
      <c r="B74" s="18" t="s">
        <v>30</v>
      </c>
      <c r="C74" s="65" t="s">
        <v>31</v>
      </c>
      <c r="D74" s="65" t="s">
        <v>4</v>
      </c>
      <c r="E74" s="17"/>
      <c r="F74" s="151"/>
      <c r="G74" s="66">
        <v>7.28</v>
      </c>
      <c r="H74" s="67">
        <f t="shared" si="13"/>
        <v>0</v>
      </c>
    </row>
    <row r="75" spans="1:8" s="56" customFormat="1" ht="32.1" customHeight="1" x14ac:dyDescent="0.2">
      <c r="A75" s="26" t="s">
        <v>132</v>
      </c>
      <c r="B75" s="18" t="s">
        <v>32</v>
      </c>
      <c r="C75" s="65" t="s">
        <v>33</v>
      </c>
      <c r="D75" s="65" t="s">
        <v>4</v>
      </c>
      <c r="E75" s="17"/>
      <c r="F75" s="151"/>
      <c r="G75" s="66">
        <v>11.89</v>
      </c>
      <c r="H75" s="67">
        <f t="shared" si="13"/>
        <v>0</v>
      </c>
    </row>
    <row r="76" spans="1:8" s="56" customFormat="1" ht="32.1" customHeight="1" x14ac:dyDescent="0.2">
      <c r="A76" s="26" t="s">
        <v>133</v>
      </c>
      <c r="B76" s="18" t="s">
        <v>34</v>
      </c>
      <c r="C76" s="65" t="s">
        <v>35</v>
      </c>
      <c r="D76" s="65" t="s">
        <v>4</v>
      </c>
      <c r="E76" s="17"/>
      <c r="F76" s="151"/>
      <c r="G76" s="66">
        <v>95.04</v>
      </c>
      <c r="H76" s="67">
        <f t="shared" si="13"/>
        <v>0</v>
      </c>
    </row>
    <row r="77" spans="1:8" s="56" customFormat="1" ht="32.1" customHeight="1" x14ac:dyDescent="0.2">
      <c r="A77" s="26" t="s">
        <v>134</v>
      </c>
      <c r="B77" s="18" t="s">
        <v>36</v>
      </c>
      <c r="C77" s="65" t="s">
        <v>37</v>
      </c>
      <c r="D77" s="65" t="s">
        <v>3</v>
      </c>
      <c r="E77" s="17"/>
      <c r="F77" s="151"/>
      <c r="G77" s="66">
        <v>9.08</v>
      </c>
      <c r="H77" s="67">
        <f t="shared" si="13"/>
        <v>0</v>
      </c>
    </row>
    <row r="78" spans="1:8" s="56" customFormat="1" ht="32.1" customHeight="1" x14ac:dyDescent="0.2">
      <c r="A78" s="26" t="s">
        <v>135</v>
      </c>
      <c r="B78" s="18" t="s">
        <v>38</v>
      </c>
      <c r="C78" s="65" t="s">
        <v>39</v>
      </c>
      <c r="D78" s="65" t="s">
        <v>2</v>
      </c>
      <c r="E78" s="17"/>
      <c r="F78" s="151"/>
      <c r="G78" s="66">
        <v>6.57</v>
      </c>
      <c r="H78" s="67">
        <f t="shared" si="13"/>
        <v>0</v>
      </c>
    </row>
    <row r="79" spans="1:8" s="56" customFormat="1" ht="32.1" customHeight="1" x14ac:dyDescent="0.2">
      <c r="A79" s="26" t="s">
        <v>136</v>
      </c>
      <c r="B79" s="18" t="s">
        <v>40</v>
      </c>
      <c r="C79" s="65" t="s">
        <v>41</v>
      </c>
      <c r="D79" s="65" t="s">
        <v>1</v>
      </c>
      <c r="E79" s="17"/>
      <c r="F79" s="151"/>
      <c r="G79" s="66">
        <v>86.9</v>
      </c>
      <c r="H79" s="67">
        <f t="shared" si="13"/>
        <v>0</v>
      </c>
    </row>
    <row r="80" spans="1:8" s="56" customFormat="1" ht="32.1" customHeight="1" thickBot="1" x14ac:dyDescent="0.25">
      <c r="A80" s="26" t="s">
        <v>137</v>
      </c>
      <c r="B80" s="28" t="s">
        <v>12</v>
      </c>
      <c r="C80" s="72" t="s">
        <v>13</v>
      </c>
      <c r="D80" s="72" t="s">
        <v>2</v>
      </c>
      <c r="E80" s="164"/>
      <c r="F80" s="152">
        <v>833.14</v>
      </c>
      <c r="G80" s="73">
        <v>4.1399999999999997</v>
      </c>
      <c r="H80" s="74">
        <f t="shared" si="13"/>
        <v>3449.1995999999995</v>
      </c>
    </row>
    <row r="81" spans="1:12" x14ac:dyDescent="0.2">
      <c r="A81" s="75"/>
      <c r="B81" s="76"/>
      <c r="C81" s="31"/>
      <c r="D81" s="77"/>
      <c r="E81" s="78"/>
      <c r="F81" s="141" t="s">
        <v>71</v>
      </c>
      <c r="G81" s="142"/>
      <c r="H81" s="79">
        <f>H15+H31+H47+H55+H58+H64</f>
        <v>211745.33048599999</v>
      </c>
    </row>
    <row r="82" spans="1:12" x14ac:dyDescent="0.2">
      <c r="A82" s="81"/>
      <c r="F82" s="143" t="s">
        <v>82</v>
      </c>
      <c r="G82" s="146">
        <v>0.22</v>
      </c>
      <c r="H82" s="85">
        <f>+TRUNC(G82*H81)</f>
        <v>46583</v>
      </c>
    </row>
    <row r="83" spans="1:12" ht="15.75" thickBot="1" x14ac:dyDescent="0.3">
      <c r="A83" s="139"/>
      <c r="B83" s="140"/>
      <c r="C83" s="140"/>
      <c r="D83" s="140"/>
      <c r="E83" s="140"/>
      <c r="F83" s="144" t="s">
        <v>69</v>
      </c>
      <c r="G83" s="145"/>
      <c r="H83" s="86">
        <f>H81+H82</f>
        <v>258328.33048599999</v>
      </c>
      <c r="K83" s="174"/>
      <c r="L83" s="174"/>
    </row>
    <row r="84" spans="1:12" x14ac:dyDescent="0.2">
      <c r="L84" s="174"/>
    </row>
    <row r="86" spans="1:12" x14ac:dyDescent="0.2">
      <c r="A86" s="165"/>
      <c r="B86" s="166"/>
      <c r="C86" s="167"/>
      <c r="D86" s="165"/>
      <c r="E86" s="168"/>
      <c r="F86" s="168"/>
      <c r="H86" s="168"/>
    </row>
    <row r="87" spans="1:12" x14ac:dyDescent="0.2">
      <c r="F87" s="84"/>
    </row>
    <row r="88" spans="1:12" x14ac:dyDescent="0.2">
      <c r="A88" s="167"/>
      <c r="B88" s="166"/>
      <c r="C88" s="167"/>
      <c r="D88" s="165"/>
      <c r="E88" s="168"/>
      <c r="F88" s="84"/>
      <c r="G88" s="168"/>
      <c r="H88" s="168"/>
      <c r="I88" s="177"/>
      <c r="J88" s="178"/>
      <c r="K88" s="177"/>
      <c r="L88" s="174"/>
    </row>
    <row r="89" spans="1:12" x14ac:dyDescent="0.2">
      <c r="L89" s="174"/>
    </row>
  </sheetData>
  <sheetProtection algorithmName="SHA-512" hashValue="mHEZ3pOVkntliALLYYL4u3X2sCV6TDzwHTuZWs2DhpybOm95s12QYO3XERO4QHmD9TL6hIi74ye4+9owAeTRnw==" saltValue="T+rfSvfcVuyGn45ja7BQsA==" spinCount="100000" sheet="1" objects="1" scenarios="1"/>
  <autoFilter ref="A12:H88" xr:uid="{00000000-0009-0000-0000-000000000000}"/>
  <sortState xmlns:xlrd2="http://schemas.microsoft.com/office/spreadsheetml/2017/richdata2" ref="B23:B38">
    <sortCondition ref="B23"/>
  </sortState>
  <mergeCells count="8">
    <mergeCell ref="G12:G13"/>
    <mergeCell ref="H12:H13"/>
    <mergeCell ref="A12:A13"/>
    <mergeCell ref="B12:B13"/>
    <mergeCell ref="C12:C13"/>
    <mergeCell ref="D12:D13"/>
    <mergeCell ref="F12:F13"/>
    <mergeCell ref="E12:E13"/>
  </mergeCells>
  <conditionalFormatting sqref="F57 F34:F35 F84:F85 F18:F19 F30 F89:F287">
    <cfRule type="containsText" dxfId="69" priority="103" operator="containsText" text=".">
      <formula>NOT(ISERROR(SEARCH(".",F18)))</formula>
    </cfRule>
  </conditionalFormatting>
  <conditionalFormatting sqref="A15 A18 A30 A57 A65:A66 A68:A327 A35:A45">
    <cfRule type="containsText" dxfId="68" priority="102" operator="containsText" text=",">
      <formula>NOT(ISERROR(SEARCH(",",A15)))</formula>
    </cfRule>
  </conditionalFormatting>
  <conditionalFormatting sqref="F14">
    <cfRule type="containsText" dxfId="67" priority="99" operator="containsText" text=".">
      <formula>NOT(ISERROR(SEARCH(".",F14)))</formula>
    </cfRule>
  </conditionalFormatting>
  <conditionalFormatting sqref="A14">
    <cfRule type="containsText" dxfId="66" priority="98" operator="containsText" text=",">
      <formula>NOT(ISERROR(SEARCH(",",A14)))</formula>
    </cfRule>
  </conditionalFormatting>
  <conditionalFormatting sqref="F31 F37:F41">
    <cfRule type="containsText" dxfId="65" priority="95" operator="containsText" text=".">
      <formula>NOT(ISERROR(SEARCH(".",F31)))</formula>
    </cfRule>
  </conditionalFormatting>
  <conditionalFormatting sqref="F15">
    <cfRule type="containsText" dxfId="64" priority="91" operator="containsText" text=".">
      <formula>NOT(ISERROR(SEARCH(".",F15)))</formula>
    </cfRule>
  </conditionalFormatting>
  <conditionalFormatting sqref="A31 A34 A54">
    <cfRule type="containsText" dxfId="63" priority="94" operator="containsText" text=",">
      <formula>NOT(ISERROR(SEARCH(",",A31)))</formula>
    </cfRule>
  </conditionalFormatting>
  <conditionalFormatting sqref="E32:E33">
    <cfRule type="containsText" dxfId="62" priority="90" operator="containsText" text=".">
      <formula>NOT(ISERROR(SEARCH(".",E32)))</formula>
    </cfRule>
  </conditionalFormatting>
  <conditionalFormatting sqref="F64">
    <cfRule type="containsText" dxfId="61" priority="83" operator="containsText" text=".">
      <formula>NOT(ISERROR(SEARCH(".",F64)))</formula>
    </cfRule>
  </conditionalFormatting>
  <conditionalFormatting sqref="F32:F33">
    <cfRule type="containsText" dxfId="60" priority="88" operator="containsText" text=".">
      <formula>NOT(ISERROR(SEARCH(".",F32)))</formula>
    </cfRule>
  </conditionalFormatting>
  <conditionalFormatting sqref="A32:A33">
    <cfRule type="containsText" dxfId="59" priority="89" operator="containsText" text=",">
      <formula>NOT(ISERROR(SEARCH(",",A32)))</formula>
    </cfRule>
  </conditionalFormatting>
  <conditionalFormatting sqref="A56">
    <cfRule type="containsText" dxfId="58" priority="86" operator="containsText" text=",">
      <formula>NOT(ISERROR(SEARCH(",",A56)))</formula>
    </cfRule>
  </conditionalFormatting>
  <conditionalFormatting sqref="F37:F41 F56 F53:F54">
    <cfRule type="containsText" dxfId="57" priority="78" operator="containsText" text=".">
      <formula>NOT(ISERROR(SEARCH(".",F37)))</formula>
    </cfRule>
  </conditionalFormatting>
  <conditionalFormatting sqref="A64">
    <cfRule type="containsText" dxfId="56" priority="82" operator="containsText" text=",">
      <formula>NOT(ISERROR(SEARCH(",",A64)))</formula>
    </cfRule>
  </conditionalFormatting>
  <conditionalFormatting sqref="A16:A17">
    <cfRule type="containsText" dxfId="55" priority="80" operator="containsText" text=",">
      <formula>NOT(ISERROR(SEARCH(",",A16)))</formula>
    </cfRule>
  </conditionalFormatting>
  <conditionalFormatting sqref="E16:E17">
    <cfRule type="containsText" dxfId="54" priority="81" operator="containsText" text=".">
      <formula>NOT(ISERROR(SEARCH(".",E16)))</formula>
    </cfRule>
  </conditionalFormatting>
  <conditionalFormatting sqref="A55">
    <cfRule type="containsText" dxfId="53" priority="70" operator="containsText" text=",">
      <formula>NOT(ISERROR(SEARCH(",",A55)))</formula>
    </cfRule>
  </conditionalFormatting>
  <conditionalFormatting sqref="F16:F17">
    <cfRule type="containsText" dxfId="52" priority="79" operator="containsText" text=".">
      <formula>NOT(ISERROR(SEARCH(".",F16)))</formula>
    </cfRule>
  </conditionalFormatting>
  <conditionalFormatting sqref="A46">
    <cfRule type="containsText" dxfId="51" priority="75" operator="containsText" text=",">
      <formula>NOT(ISERROR(SEARCH(",",A46)))</formula>
    </cfRule>
  </conditionalFormatting>
  <conditionalFormatting sqref="F46">
    <cfRule type="containsText" dxfId="50" priority="74" operator="containsText" text=".">
      <formula>NOT(ISERROR(SEARCH(".",F46)))</formula>
    </cfRule>
  </conditionalFormatting>
  <conditionalFormatting sqref="F55">
    <cfRule type="containsText" dxfId="49" priority="71" operator="containsText" text=".">
      <formula>NOT(ISERROR(SEARCH(".",F55)))</formula>
    </cfRule>
  </conditionalFormatting>
  <conditionalFormatting sqref="A47">
    <cfRule type="containsText" dxfId="48" priority="69" operator="containsText" text=",">
      <formula>NOT(ISERROR(SEARCH(",",A47)))</formula>
    </cfRule>
  </conditionalFormatting>
  <conditionalFormatting sqref="F47">
    <cfRule type="containsText" dxfId="47" priority="68" operator="containsText" text=".">
      <formula>NOT(ISERROR(SEARCH(".",F47)))</formula>
    </cfRule>
  </conditionalFormatting>
  <conditionalFormatting sqref="F35">
    <cfRule type="containsText" dxfId="46" priority="64" operator="containsText" text=".">
      <formula>NOT(ISERROR(SEARCH(".",F35)))</formula>
    </cfRule>
  </conditionalFormatting>
  <conditionalFormatting sqref="A19 A21 A23 A25 A29 A27">
    <cfRule type="containsText" dxfId="45" priority="63" operator="containsText" text=",">
      <formula>NOT(ISERROR(SEARCH(",",A19)))</formula>
    </cfRule>
  </conditionalFormatting>
  <conditionalFormatting sqref="F43">
    <cfRule type="containsText" dxfId="44" priority="57" operator="containsText" text=".">
      <formula>NOT(ISERROR(SEARCH(".",F43)))</formula>
    </cfRule>
  </conditionalFormatting>
  <conditionalFormatting sqref="F43">
    <cfRule type="containsText" dxfId="43" priority="55" operator="containsText" text=".">
      <formula>NOT(ISERROR(SEARCH(".",F43)))</formula>
    </cfRule>
  </conditionalFormatting>
  <conditionalFormatting sqref="F36">
    <cfRule type="containsText" dxfId="42" priority="50" operator="containsText" text=".">
      <formula>NOT(ISERROR(SEARCH(".",F36)))</formula>
    </cfRule>
  </conditionalFormatting>
  <conditionalFormatting sqref="F36">
    <cfRule type="containsText" dxfId="41" priority="51" operator="containsText" text=".">
      <formula>NOT(ISERROR(SEARCH(".",F36)))</formula>
    </cfRule>
  </conditionalFormatting>
  <conditionalFormatting sqref="A48:A53">
    <cfRule type="containsText" dxfId="40" priority="49" operator="containsText" text=",">
      <formula>NOT(ISERROR(SEARCH(",",A48)))</formula>
    </cfRule>
  </conditionalFormatting>
  <conditionalFormatting sqref="F58">
    <cfRule type="containsText" dxfId="39" priority="33" operator="containsText" text=".">
      <formula>NOT(ISERROR(SEARCH(".",F58)))</formula>
    </cfRule>
  </conditionalFormatting>
  <conditionalFormatting sqref="A58">
    <cfRule type="containsText" dxfId="38" priority="32" operator="containsText" text=",">
      <formula>NOT(ISERROR(SEARCH(",",A58)))</formula>
    </cfRule>
  </conditionalFormatting>
  <conditionalFormatting sqref="A63">
    <cfRule type="containsText" dxfId="37" priority="35" operator="containsText" text=",">
      <formula>NOT(ISERROR(SEARCH(",",A63)))</formula>
    </cfRule>
  </conditionalFormatting>
  <conditionalFormatting sqref="F63">
    <cfRule type="containsText" dxfId="36" priority="34" operator="containsText" text=".">
      <formula>NOT(ISERROR(SEARCH(".",F63)))</formula>
    </cfRule>
  </conditionalFormatting>
  <conditionalFormatting sqref="F61:F62">
    <cfRule type="containsText" dxfId="35" priority="26" operator="containsText" text=".">
      <formula>NOT(ISERROR(SEARCH(".",F61)))</formula>
    </cfRule>
  </conditionalFormatting>
  <conditionalFormatting sqref="F59">
    <cfRule type="containsText" dxfId="34" priority="30" operator="containsText" text=".">
      <formula>NOT(ISERROR(SEARCH(".",F59)))</formula>
    </cfRule>
  </conditionalFormatting>
  <conditionalFormatting sqref="A59:A62">
    <cfRule type="containsText" dxfId="33" priority="31" operator="containsText" text=",">
      <formula>NOT(ISERROR(SEARCH(",",A59)))</formula>
    </cfRule>
  </conditionalFormatting>
  <conditionalFormatting sqref="F48:F50 F52">
    <cfRule type="containsText" dxfId="32" priority="27" operator="containsText" text=".">
      <formula>NOT(ISERROR(SEARCH(".",F48)))</formula>
    </cfRule>
  </conditionalFormatting>
  <conditionalFormatting sqref="F60">
    <cfRule type="containsText" dxfId="31" priority="24" operator="containsText" text=".">
      <formula>NOT(ISERROR(SEARCH(".",F60)))</formula>
    </cfRule>
  </conditionalFormatting>
  <conditionalFormatting sqref="F51">
    <cfRule type="containsText" dxfId="30" priority="20" operator="containsText" text=".">
      <formula>NOT(ISERROR(SEARCH(".",F51)))</formula>
    </cfRule>
  </conditionalFormatting>
  <conditionalFormatting sqref="F51">
    <cfRule type="containsText" dxfId="29" priority="18" operator="containsText" text=".">
      <formula>NOT(ISERROR(SEARCH(".",F51)))</formula>
    </cfRule>
  </conditionalFormatting>
  <conditionalFormatting sqref="A20 A22 A24 A28">
    <cfRule type="containsText" dxfId="28" priority="17" operator="containsText" text=",">
      <formula>NOT(ISERROR(SEARCH(",",A20)))</formula>
    </cfRule>
  </conditionalFormatting>
  <conditionalFormatting sqref="A28">
    <cfRule type="containsText" dxfId="27" priority="16" operator="containsText" text=",">
      <formula>NOT(ISERROR(SEARCH(",",A28)))</formula>
    </cfRule>
  </conditionalFormatting>
  <conditionalFormatting sqref="A29">
    <cfRule type="containsText" dxfId="26" priority="15" operator="containsText" text=",">
      <formula>NOT(ISERROR(SEARCH(",",A29)))</formula>
    </cfRule>
  </conditionalFormatting>
  <conditionalFormatting sqref="A67">
    <cfRule type="containsText" dxfId="25" priority="14" operator="containsText" text=",">
      <formula>NOT(ISERROR(SEARCH(",",A67)))</formula>
    </cfRule>
  </conditionalFormatting>
  <conditionalFormatting sqref="A26">
    <cfRule type="containsText" dxfId="24" priority="12" operator="containsText" text=",">
      <formula>NOT(ISERROR(SEARCH(",",A26)))</formula>
    </cfRule>
  </conditionalFormatting>
  <conditionalFormatting sqref="A28">
    <cfRule type="containsText" dxfId="23" priority="11" operator="containsText" text=",">
      <formula>NOT(ISERROR(SEARCH(",",A28)))</formula>
    </cfRule>
  </conditionalFormatting>
  <conditionalFormatting sqref="A27">
    <cfRule type="containsText" dxfId="22" priority="10" operator="containsText" text=",">
      <formula>NOT(ISERROR(SEARCH(",",A27)))</formula>
    </cfRule>
  </conditionalFormatting>
  <conditionalFormatting sqref="A27">
    <cfRule type="containsText" dxfId="21" priority="9" operator="containsText" text=",">
      <formula>NOT(ISERROR(SEARCH(",",A27)))</formula>
    </cfRule>
  </conditionalFormatting>
  <conditionalFormatting sqref="A28">
    <cfRule type="containsText" dxfId="20" priority="8" operator="containsText" text=",">
      <formula>NOT(ISERROR(SEARCH(",",A28)))</formula>
    </cfRule>
  </conditionalFormatting>
  <conditionalFormatting sqref="F44:F45">
    <cfRule type="containsText" dxfId="19" priority="2" operator="containsText" text=".">
      <formula>NOT(ISERROR(SEARCH(".",F44)))</formula>
    </cfRule>
  </conditionalFormatting>
  <conditionalFormatting sqref="A42">
    <cfRule type="containsText" dxfId="18" priority="6" operator="containsText" text=",">
      <formula>NOT(ISERROR(SEARCH(",",A42)))</formula>
    </cfRule>
  </conditionalFormatting>
  <conditionalFormatting sqref="F42">
    <cfRule type="containsText" dxfId="17" priority="5" operator="containsText" text=".">
      <formula>NOT(ISERROR(SEARCH(".",F42)))</formula>
    </cfRule>
  </conditionalFormatting>
  <conditionalFormatting sqref="F42">
    <cfRule type="containsText" dxfId="16" priority="4" operator="containsText" text=".">
      <formula>NOT(ISERROR(SEARCH(".",F42)))</formula>
    </cfRule>
  </conditionalFormatting>
  <conditionalFormatting sqref="F44:F45">
    <cfRule type="containsText" dxfId="15" priority="3" operator="containsText" text=".">
      <formula>NOT(ISERROR(SEARCH(".",F44)))</formula>
    </cfRule>
  </conditionalFormatting>
  <conditionalFormatting sqref="F20:F29">
    <cfRule type="containsText" dxfId="14" priority="1" operator="containsText" text=".">
      <formula>NOT(ISERROR(SEARCH(".",F20)))</formula>
    </cfRule>
  </conditionalFormatting>
  <printOptions horizontalCentered="1" gridLinesSet="0"/>
  <pageMargins left="0.15748031496062992" right="0.23622047244094491" top="1.1811023622047245" bottom="0.43307086614173229" header="0" footer="0.19685039370078741"/>
  <pageSetup paperSize="9" scale="65" fitToHeight="0" orientation="portrait" horizontalDpi="300" verticalDpi="300" r:id="rId1"/>
  <headerFooter alignWithMargins="0">
    <oddHeader xml:space="preserve">&amp;R&amp;8
</oddHead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H31"/>
  <sheetViews>
    <sheetView showGridLines="0" showZeros="0" zoomScaleNormal="100" workbookViewId="0">
      <selection activeCell="G6" sqref="G6"/>
    </sheetView>
  </sheetViews>
  <sheetFormatPr defaultColWidth="11.42578125" defaultRowHeight="14.25" x14ac:dyDescent="0.2"/>
  <cols>
    <col min="1" max="1" width="15.5703125" style="125" customWidth="1"/>
    <col min="2" max="2" width="8.7109375" style="128" customWidth="1"/>
    <col min="3" max="3" width="71.42578125" style="129" customWidth="1"/>
    <col min="4" max="4" width="8.42578125" style="130" customWidth="1"/>
    <col min="5" max="5" width="10.42578125" style="131" bestFit="1" customWidth="1"/>
    <col min="6" max="6" width="7" style="131" customWidth="1"/>
    <col min="7" max="7" width="21.42578125" style="131" customWidth="1"/>
    <col min="8" max="16384" width="11.42578125" style="125"/>
  </cols>
  <sheetData>
    <row r="1" spans="1:8" s="94" customFormat="1" ht="12.75" x14ac:dyDescent="0.2">
      <c r="B1" s="95"/>
      <c r="C1" s="96"/>
      <c r="D1" s="97"/>
      <c r="E1" s="132"/>
      <c r="F1" s="98"/>
      <c r="G1" s="98"/>
      <c r="H1" s="98"/>
    </row>
    <row r="2" spans="1:8" s="94" customFormat="1" ht="15.75" customHeight="1" x14ac:dyDescent="0.2">
      <c r="A2" s="133" t="s">
        <v>74</v>
      </c>
      <c r="B2" s="133"/>
      <c r="C2" s="133"/>
      <c r="D2" s="133"/>
      <c r="E2" s="133"/>
      <c r="F2" s="133"/>
      <c r="G2" s="133"/>
      <c r="H2" s="133"/>
    </row>
    <row r="3" spans="1:8" s="94" customFormat="1" ht="15.75" customHeight="1" x14ac:dyDescent="0.2">
      <c r="A3" s="133"/>
      <c r="B3" s="133"/>
      <c r="C3" s="133"/>
      <c r="D3" s="133"/>
      <c r="E3" s="133"/>
      <c r="F3" s="133"/>
      <c r="G3" s="133"/>
      <c r="H3" s="133"/>
    </row>
    <row r="4" spans="1:8" s="94" customFormat="1" ht="8.25" customHeight="1" x14ac:dyDescent="0.2">
      <c r="B4" s="100"/>
      <c r="C4" s="101"/>
      <c r="D4" s="102"/>
      <c r="E4" s="134"/>
      <c r="F4" s="99"/>
      <c r="G4" s="99"/>
      <c r="H4" s="99"/>
    </row>
    <row r="5" spans="1:8" s="8" customFormat="1" ht="24.75" customHeight="1" x14ac:dyDescent="0.2">
      <c r="A5" s="103"/>
      <c r="B5" s="104"/>
      <c r="C5" s="135" t="s">
        <v>75</v>
      </c>
      <c r="D5" s="30"/>
      <c r="E5" s="136"/>
      <c r="F5" s="105"/>
      <c r="G5" s="105"/>
      <c r="H5" s="105"/>
    </row>
    <row r="6" spans="1:8" s="8" customFormat="1" ht="24.75" customHeight="1" x14ac:dyDescent="0.2">
      <c r="A6" s="103"/>
      <c r="B6" s="104"/>
      <c r="C6" s="4"/>
      <c r="D6" s="30"/>
      <c r="E6" s="136"/>
      <c r="F6" s="105"/>
      <c r="G6" s="105"/>
      <c r="H6" s="105"/>
    </row>
    <row r="7" spans="1:8" s="8" customFormat="1" ht="24.75" customHeight="1" x14ac:dyDescent="0.2">
      <c r="A7" s="5" t="s">
        <v>72</v>
      </c>
      <c r="B7" s="106"/>
      <c r="C7" s="107" t="str">
        <f>+'Planilha Quant.'!C7</f>
        <v>CALÇADAS ACESSÍVEIS</v>
      </c>
      <c r="D7" s="7" t="s">
        <v>73</v>
      </c>
      <c r="E7" s="7"/>
      <c r="F7" s="107" t="str">
        <f>+'Planilha Quant.'!F7</f>
        <v>REGINOPOLIS</v>
      </c>
      <c r="G7" s="107"/>
      <c r="H7" s="137"/>
    </row>
    <row r="8" spans="1:8" s="8" customFormat="1" ht="24.75" customHeight="1" x14ac:dyDescent="0.2">
      <c r="A8" s="5" t="s">
        <v>76</v>
      </c>
      <c r="B8" s="106"/>
      <c r="C8" s="107">
        <f>+'Planilha Quant.'!C8</f>
        <v>33844</v>
      </c>
      <c r="D8" s="7"/>
      <c r="E8" s="7"/>
      <c r="F8" s="137"/>
      <c r="G8" s="137"/>
      <c r="H8" s="137"/>
    </row>
    <row r="9" spans="1:8" s="8" customFormat="1" ht="24.75" customHeight="1" x14ac:dyDescent="0.2">
      <c r="A9" s="5" t="s">
        <v>78</v>
      </c>
      <c r="B9" s="106"/>
      <c r="C9" s="107" t="str">
        <f>+'Planilha Quant.'!C9</f>
        <v>RUA JOSÉ RABELLO s/n°, RUA ANTONIO SPURI s/n°, RUA VADILDE GONÇALVES GARCIA s/n°, AV. PADRE ANCHIETA n°441</v>
      </c>
      <c r="D9" s="7"/>
      <c r="E9" s="7"/>
      <c r="F9" s="137"/>
      <c r="G9" s="137"/>
      <c r="H9" s="137"/>
    </row>
    <row r="10" spans="1:8" s="8" customFormat="1" ht="34.5" customHeight="1" x14ac:dyDescent="0.2">
      <c r="A10" s="108" t="s">
        <v>52</v>
      </c>
      <c r="B10" s="109"/>
      <c r="C10" s="110"/>
      <c r="D10" s="30" t="s">
        <v>70</v>
      </c>
      <c r="E10" s="138">
        <f>+'Planilha Quant.'!E10</f>
        <v>22</v>
      </c>
      <c r="F10" s="105" t="s">
        <v>77</v>
      </c>
      <c r="G10" s="105"/>
      <c r="H10" s="105"/>
    </row>
    <row r="11" spans="1:8" s="94" customFormat="1" ht="9.75" customHeight="1" thickBot="1" x14ac:dyDescent="0.25">
      <c r="B11" s="95"/>
      <c r="C11" s="96"/>
      <c r="D11" s="97"/>
      <c r="E11" s="98"/>
      <c r="F11" s="98"/>
      <c r="G11" s="98"/>
    </row>
    <row r="12" spans="1:8" s="94" customFormat="1" ht="21.75" customHeight="1" thickTop="1" x14ac:dyDescent="0.2">
      <c r="A12" s="195" t="s">
        <v>5</v>
      </c>
      <c r="B12" s="197" t="s">
        <v>6</v>
      </c>
      <c r="C12" s="199" t="s">
        <v>7</v>
      </c>
      <c r="D12" s="195" t="s">
        <v>8</v>
      </c>
      <c r="E12" s="201" t="s">
        <v>9</v>
      </c>
      <c r="F12" s="203"/>
      <c r="G12" s="193" t="s">
        <v>11</v>
      </c>
    </row>
    <row r="13" spans="1:8" s="94" customFormat="1" ht="16.5" customHeight="1" thickBot="1" x14ac:dyDescent="0.25">
      <c r="A13" s="196"/>
      <c r="B13" s="198"/>
      <c r="C13" s="200"/>
      <c r="D13" s="196"/>
      <c r="E13" s="202"/>
      <c r="F13" s="204"/>
      <c r="G13" s="194"/>
    </row>
    <row r="14" spans="1:8" s="116" customFormat="1" ht="32.1" customHeight="1" thickTop="1" x14ac:dyDescent="0.2">
      <c r="A14" s="169"/>
      <c r="B14" s="111"/>
      <c r="C14" s="112" t="str">
        <f>IF(ISBLANK(B14)," ",(VLOOKUP(B14,#REF!,2,0)))</f>
        <v xml:space="preserve"> </v>
      </c>
      <c r="D14" s="112" t="str">
        <f>IF(ISBLANK(B14)," ",(VLOOKUP(B14,#REF!,3,0)))</f>
        <v xml:space="preserve"> </v>
      </c>
      <c r="E14" s="113"/>
      <c r="F14" s="114" t="str">
        <f>IF(ISBLANK(B14)," ",(VLOOKUP(B14,#REF!,4,0)))</f>
        <v xml:space="preserve"> </v>
      </c>
      <c r="G14" s="115" t="str">
        <f>IF(ISBLANK(B14)," ",E14*F14)</f>
        <v xml:space="preserve"> </v>
      </c>
    </row>
    <row r="15" spans="1:8" s="122" customFormat="1" ht="32.1" customHeight="1" x14ac:dyDescent="0.2">
      <c r="A15" s="170" t="s">
        <v>85</v>
      </c>
      <c r="B15" s="117"/>
      <c r="C15" s="118" t="s">
        <v>61</v>
      </c>
      <c r="D15" s="118" t="s">
        <v>55</v>
      </c>
      <c r="E15" s="119">
        <f>VLOOKUP(A15,'Planilha Quant.'!A:H,6,0)</f>
        <v>0</v>
      </c>
      <c r="F15" s="120"/>
      <c r="G15" s="121">
        <f>VLOOKUP(A15,'Planilha Quant.'!A:H,8,0)</f>
        <v>0</v>
      </c>
    </row>
    <row r="16" spans="1:8" s="116" customFormat="1" ht="32.1" customHeight="1" x14ac:dyDescent="0.2">
      <c r="A16" s="169"/>
      <c r="B16" s="111"/>
      <c r="C16" s="112" t="str">
        <f>IF(ISBLANK(B16)," ",(VLOOKUP(B16,#REF!,2,0)))</f>
        <v xml:space="preserve"> </v>
      </c>
      <c r="D16" s="112" t="str">
        <f>IF(ISBLANK(B16)," ",(VLOOKUP(B16,#REF!,3,0)))</f>
        <v xml:space="preserve"> </v>
      </c>
      <c r="E16" s="113"/>
      <c r="F16" s="114" t="str">
        <f>IF(ISBLANK(B16)," ",(VLOOKUP(B16,#REF!,4,0)))</f>
        <v xml:space="preserve"> </v>
      </c>
      <c r="G16" s="115" t="str">
        <f>IF(ISBLANK(B16)," ",E16*F16)</f>
        <v xml:space="preserve"> </v>
      </c>
    </row>
    <row r="17" spans="1:8" s="122" customFormat="1" ht="32.1" customHeight="1" x14ac:dyDescent="0.2">
      <c r="A17" s="170" t="s">
        <v>100</v>
      </c>
      <c r="B17" s="117"/>
      <c r="C17" s="118" t="s">
        <v>60</v>
      </c>
      <c r="D17" s="118" t="s">
        <v>55</v>
      </c>
      <c r="E17" s="119">
        <f>VLOOKUP(A17,'Planilha Quant.'!A:H,6,0)</f>
        <v>28</v>
      </c>
      <c r="F17" s="120"/>
      <c r="G17" s="121">
        <f>VLOOKUP(A17,'Planilha Quant.'!A:H,8,0)</f>
        <v>31228.0556</v>
      </c>
    </row>
    <row r="18" spans="1:8" s="116" customFormat="1" ht="32.1" customHeight="1" x14ac:dyDescent="0.2">
      <c r="A18" s="169"/>
      <c r="B18" s="111"/>
      <c r="C18" s="112"/>
      <c r="D18" s="112"/>
      <c r="E18" s="123"/>
      <c r="F18" s="114"/>
      <c r="G18" s="115"/>
    </row>
    <row r="19" spans="1:8" s="122" customFormat="1" ht="32.1" customHeight="1" x14ac:dyDescent="0.2">
      <c r="A19" s="170" t="s">
        <v>110</v>
      </c>
      <c r="B19" s="117"/>
      <c r="C19" s="118" t="s">
        <v>59</v>
      </c>
      <c r="D19" s="118" t="s">
        <v>4</v>
      </c>
      <c r="E19" s="119">
        <f>VLOOKUP(A19,'Planilha Quant.'!A:H,6,0)</f>
        <v>1044.32</v>
      </c>
      <c r="F19" s="120"/>
      <c r="G19" s="121">
        <f>VLOOKUP(A19,'Planilha Quant.'!A:H,8,0)</f>
        <v>122689.533264</v>
      </c>
    </row>
    <row r="20" spans="1:8" s="116" customFormat="1" ht="32.1" customHeight="1" x14ac:dyDescent="0.2">
      <c r="A20" s="169"/>
      <c r="B20" s="111"/>
      <c r="C20" s="112"/>
      <c r="D20" s="112"/>
      <c r="E20" s="123"/>
      <c r="F20" s="114"/>
      <c r="G20" s="115"/>
    </row>
    <row r="21" spans="1:8" s="122" customFormat="1" ht="32.1" customHeight="1" x14ac:dyDescent="0.2">
      <c r="A21" s="170" t="s">
        <v>116</v>
      </c>
      <c r="B21" s="117"/>
      <c r="C21" s="118" t="s">
        <v>63</v>
      </c>
      <c r="D21" s="118" t="s">
        <v>2</v>
      </c>
      <c r="E21" s="119">
        <f>VLOOKUP(A21,'Planilha Quant.'!A:H,6,0)</f>
        <v>503.33</v>
      </c>
      <c r="F21" s="120"/>
      <c r="G21" s="121">
        <f>VLOOKUP(A21,'Planilha Quant.'!A:H,8,0)</f>
        <v>26308.555769999999</v>
      </c>
    </row>
    <row r="22" spans="1:8" s="116" customFormat="1" ht="32.1" customHeight="1" x14ac:dyDescent="0.2">
      <c r="A22" s="169"/>
      <c r="B22" s="111"/>
      <c r="C22" s="112" t="str">
        <f>IF(ISBLANK(B22)," ",(VLOOKUP(B22,#REF!,2,0)))</f>
        <v xml:space="preserve"> </v>
      </c>
      <c r="D22" s="112" t="str">
        <f>IF(ISBLANK(B22)," ",(VLOOKUP(B22,#REF!,3,0)))</f>
        <v xml:space="preserve"> </v>
      </c>
      <c r="E22" s="113"/>
      <c r="F22" s="114" t="str">
        <f>IF(ISBLANK(B22)," ",(VLOOKUP(B22,#REF!,4,0)))</f>
        <v xml:space="preserve"> </v>
      </c>
      <c r="G22" s="115" t="str">
        <f>IF(ISBLANK(B22)," ",E22*F22)</f>
        <v xml:space="preserve"> </v>
      </c>
    </row>
    <row r="23" spans="1:8" s="122" customFormat="1" ht="32.1" customHeight="1" x14ac:dyDescent="0.2">
      <c r="A23" s="170" t="s">
        <v>117</v>
      </c>
      <c r="B23" s="117"/>
      <c r="C23" s="118" t="s">
        <v>64</v>
      </c>
      <c r="D23" s="118" t="s">
        <v>2</v>
      </c>
      <c r="E23" s="119">
        <f>VLOOKUP(A23,'Planilha Quant.'!A:H,6,0)</f>
        <v>416.57</v>
      </c>
      <c r="F23" s="120"/>
      <c r="G23" s="121">
        <f>VLOOKUP(A23,'Planilha Quant.'!A:H,8,0)</f>
        <v>28069.986251999995</v>
      </c>
    </row>
    <row r="24" spans="1:8" s="116" customFormat="1" ht="32.1" customHeight="1" x14ac:dyDescent="0.2">
      <c r="A24" s="169"/>
      <c r="B24" s="111"/>
      <c r="C24" s="112"/>
      <c r="D24" s="112"/>
      <c r="E24" s="123"/>
      <c r="F24" s="114"/>
      <c r="G24" s="115"/>
    </row>
    <row r="25" spans="1:8" s="122" customFormat="1" ht="32.1" customHeight="1" x14ac:dyDescent="0.2">
      <c r="A25" s="170" t="s">
        <v>90</v>
      </c>
      <c r="B25" s="117"/>
      <c r="C25" s="118" t="s">
        <v>65</v>
      </c>
      <c r="D25" s="118"/>
      <c r="E25" s="119"/>
      <c r="F25" s="120"/>
      <c r="G25" s="121">
        <f>VLOOKUP(A25,'Planilha Quant.'!A:H,8,0)</f>
        <v>3449.1995999999995</v>
      </c>
    </row>
    <row r="26" spans="1:8" s="116" customFormat="1" ht="32.1" customHeight="1" x14ac:dyDescent="0.2">
      <c r="A26" s="169"/>
      <c r="B26" s="111"/>
      <c r="C26" s="112" t="str">
        <f>IF(ISBLANK(B26)," ",(VLOOKUP(B26,#REF!,2,0)))</f>
        <v xml:space="preserve"> </v>
      </c>
      <c r="D26" s="112" t="str">
        <f>IF(ISBLANK(B26)," ",(VLOOKUP(B26,#REF!,3,0)))</f>
        <v xml:space="preserve"> </v>
      </c>
      <c r="E26" s="113"/>
      <c r="F26" s="114" t="str">
        <f>IF(ISBLANK(B26)," ",(VLOOKUP(B26,#REF!,4,0)))</f>
        <v xml:space="preserve"> </v>
      </c>
      <c r="G26" s="115" t="str">
        <f>IF(ISBLANK(B26)," ",E26*F26)</f>
        <v xml:space="preserve"> </v>
      </c>
    </row>
    <row r="27" spans="1:8" s="116" customFormat="1" ht="32.1" customHeight="1" thickBot="1" x14ac:dyDescent="0.25">
      <c r="A27" s="172"/>
      <c r="B27" s="172"/>
      <c r="C27" s="172" t="str">
        <f>IF(ISBLANK(B27)," ",(VLOOKUP(B27,#REF!,2,0)))</f>
        <v xml:space="preserve"> </v>
      </c>
      <c r="D27" s="155" t="str">
        <f>IF(ISBLANK(B27)," ",(VLOOKUP(B27,#REF!,3,0)))</f>
        <v xml:space="preserve"> </v>
      </c>
      <c r="E27" s="89"/>
      <c r="F27" s="124" t="str">
        <f>IF(ISBLANK(B27)," ",(VLOOKUP(B27,#REF!,4,0)))</f>
        <v xml:space="preserve"> </v>
      </c>
      <c r="G27" s="156" t="str">
        <f>IF(ISBLANK(B27)," ",E27*F27)</f>
        <v xml:space="preserve"> </v>
      </c>
    </row>
    <row r="28" spans="1:8" ht="33" customHeight="1" x14ac:dyDescent="0.25">
      <c r="B28" s="126"/>
      <c r="C28" s="171"/>
      <c r="D28" s="157"/>
      <c r="E28" s="158" t="s">
        <v>71</v>
      </c>
      <c r="F28" s="159"/>
      <c r="G28" s="147">
        <f>SUM(G14:G25)</f>
        <v>211745.33048599999</v>
      </c>
    </row>
    <row r="29" spans="1:8" ht="33" customHeight="1" x14ac:dyDescent="0.2">
      <c r="B29" s="126"/>
      <c r="C29" s="127"/>
      <c r="D29" s="160"/>
      <c r="E29" s="153" t="s">
        <v>82</v>
      </c>
      <c r="F29" s="154">
        <f>+'Planilha Quant.'!G82</f>
        <v>0.22</v>
      </c>
      <c r="G29" s="148">
        <f>+'Planilha Quant.'!H82</f>
        <v>46583</v>
      </c>
    </row>
    <row r="30" spans="1:8" ht="33" customHeight="1" thickBot="1" x14ac:dyDescent="0.3">
      <c r="B30" s="126"/>
      <c r="C30" s="127"/>
      <c r="D30" s="161"/>
      <c r="E30" s="162" t="s">
        <v>69</v>
      </c>
      <c r="F30" s="163"/>
      <c r="G30" s="149">
        <f>+G28+G29</f>
        <v>258328.33048599999</v>
      </c>
    </row>
    <row r="31" spans="1:8" ht="33" customHeight="1" x14ac:dyDescent="0.2">
      <c r="B31" s="126"/>
      <c r="C31" s="127"/>
      <c r="D31" s="127"/>
      <c r="E31" s="127"/>
      <c r="F31" s="127"/>
      <c r="G31" s="127"/>
      <c r="H31" s="127"/>
    </row>
  </sheetData>
  <sheetProtection algorithmName="SHA-512" hashValue="ybozvfxhunEbrWV1xBqQgo5O7VrsEBnUWQeDeQh9puGddxdrk9tx2UTXR4Bfi5mKPJSUU12mSAsZJzDGkkfwwA==" saltValue="UaqahB4ZCK4sa/rixO2Lkg==" spinCount="100000" sheet="1" objects="1" scenarios="1"/>
  <mergeCells count="7">
    <mergeCell ref="G12:G13"/>
    <mergeCell ref="A12:A13"/>
    <mergeCell ref="B12:B13"/>
    <mergeCell ref="C12:C13"/>
    <mergeCell ref="D12:D13"/>
    <mergeCell ref="E12:E13"/>
    <mergeCell ref="F12:F13"/>
  </mergeCells>
  <conditionalFormatting sqref="E16 E20 E22 E26:E27 E32:E206">
    <cfRule type="containsText" dxfId="13" priority="59" operator="containsText" text=".">
      <formula>NOT(ISERROR(SEARCH(".",E16)))</formula>
    </cfRule>
  </conditionalFormatting>
  <conditionalFormatting sqref="A15:A16 A20 A22 A24 A26 A28:A246">
    <cfRule type="containsText" dxfId="12" priority="58" operator="containsText" text=",">
      <formula>NOT(ISERROR(SEARCH(",",A15)))</formula>
    </cfRule>
  </conditionalFormatting>
  <conditionalFormatting sqref="E14">
    <cfRule type="containsText" dxfId="11" priority="57" operator="containsText" text=".">
      <formula>NOT(ISERROR(SEARCH(".",E14)))</formula>
    </cfRule>
  </conditionalFormatting>
  <conditionalFormatting sqref="A14">
    <cfRule type="containsText" dxfId="10" priority="56" operator="containsText" text=",">
      <formula>NOT(ISERROR(SEARCH(",",A14)))</formula>
    </cfRule>
  </conditionalFormatting>
  <conditionalFormatting sqref="E15">
    <cfRule type="containsText" dxfId="9" priority="51" operator="containsText" text=".">
      <formula>NOT(ISERROR(SEARCH(".",E15)))</formula>
    </cfRule>
  </conditionalFormatting>
  <conditionalFormatting sqref="A17">
    <cfRule type="containsText" dxfId="8" priority="53" operator="containsText" text=",">
      <formula>NOT(ISERROR(SEARCH(",",A17)))</formula>
    </cfRule>
  </conditionalFormatting>
  <conditionalFormatting sqref="A25">
    <cfRule type="containsText" dxfId="7" priority="45" operator="containsText" text=",">
      <formula>NOT(ISERROR(SEARCH(",",A25)))</formula>
    </cfRule>
  </conditionalFormatting>
  <conditionalFormatting sqref="A21">
    <cfRule type="containsText" dxfId="6" priority="37" operator="containsText" text=",">
      <formula>NOT(ISERROR(SEARCH(",",A21)))</formula>
    </cfRule>
  </conditionalFormatting>
  <conditionalFormatting sqref="A18">
    <cfRule type="containsText" dxfId="5" priority="40" operator="containsText" text=",">
      <formula>NOT(ISERROR(SEARCH(",",A18)))</formula>
    </cfRule>
  </conditionalFormatting>
  <conditionalFormatting sqref="E18">
    <cfRule type="containsText" dxfId="4" priority="39" operator="containsText" text=".">
      <formula>NOT(ISERROR(SEARCH(".",E18)))</formula>
    </cfRule>
  </conditionalFormatting>
  <conditionalFormatting sqref="A19">
    <cfRule type="containsText" dxfId="3" priority="36" operator="containsText" text=",">
      <formula>NOT(ISERROR(SEARCH(",",A19)))</formula>
    </cfRule>
  </conditionalFormatting>
  <conditionalFormatting sqref="A23">
    <cfRule type="containsText" dxfId="2" priority="15" operator="containsText" text=",">
      <formula>NOT(ISERROR(SEARCH(",",A23)))</formula>
    </cfRule>
  </conditionalFormatting>
  <conditionalFormatting sqref="E24">
    <cfRule type="containsText" dxfId="1" priority="17" operator="containsText" text=".">
      <formula>NOT(ISERROR(SEARCH(".",E24)))</formula>
    </cfRule>
  </conditionalFormatting>
  <conditionalFormatting sqref="E25 E23 E21 E19 E17">
    <cfRule type="containsText" dxfId="0" priority="1" operator="containsText" text=".">
      <formula>NOT(ISERROR(SEARCH(".",E17)))</formula>
    </cfRule>
  </conditionalFormatting>
  <printOptions horizontalCentered="1" gridLinesSet="0"/>
  <pageMargins left="0.15748031496062992" right="0.23622047244094491" top="1.1811023622047245" bottom="0.43307086614173229" header="0" footer="0.19685039370078741"/>
  <pageSetup paperSize="9" scale="71" fitToHeight="0" orientation="portrait" horizontalDpi="300" verticalDpi="300" r:id="rId1"/>
  <headerFooter alignWithMargins="0">
    <oddHeader xml:space="preserve">&amp;R&amp;8
</oddHeader>
    <oddFooter>&amp;R&amp;8&amp;P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Planilha Quant.</vt:lpstr>
      <vt:lpstr>RESUMO</vt:lpstr>
      <vt:lpstr>'Planilha Quant.'!Area_de_impressao</vt:lpstr>
      <vt:lpstr>RESUMO!Area_de_impressao</vt:lpstr>
      <vt:lpstr>'Planilha Quant.'!Titulos_de_impressao</vt:lpstr>
      <vt:lpstr>RESUMO!Titulos_de_impressao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SIRACUZA CAPPI</dc:creator>
  <cp:lastModifiedBy>Windows</cp:lastModifiedBy>
  <cp:lastPrinted>2022-04-11T23:52:26Z</cp:lastPrinted>
  <dcterms:created xsi:type="dcterms:W3CDTF">2009-08-25T21:08:26Z</dcterms:created>
  <dcterms:modified xsi:type="dcterms:W3CDTF">2022-10-03T18:36:56Z</dcterms:modified>
</cp:coreProperties>
</file>