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5135" windowHeight="4215" tabRatio="598" activeTab="0"/>
  </bookViews>
  <sheets>
    <sheet name="Orçamento Revisado" sheetId="1" r:id="rId1"/>
    <sheet name="BDI" sheetId="2" r:id="rId2"/>
    <sheet name="Mem. Calculo" sheetId="3" r:id="rId3"/>
  </sheets>
  <definedNames>
    <definedName name="_xlnm._FilterDatabase" localSheetId="0" hidden="1">'Orçamento Revisado'!$B$1:$B$101</definedName>
    <definedName name="_xlnm.Print_Area" localSheetId="0">'Orçamento Revisado'!$A$1:$L$103</definedName>
    <definedName name="_xlnm.Print_Titles" localSheetId="0">'Orçamento Revisado'!$1:$6</definedName>
  </definedNames>
  <calcPr fullCalcOnLoad="1" fullPrecision="0"/>
</workbook>
</file>

<file path=xl/sharedStrings.xml><?xml version="1.0" encoding="utf-8"?>
<sst xmlns="http://schemas.openxmlformats.org/spreadsheetml/2006/main" count="388" uniqueCount="244">
  <si>
    <t>TOTAIS</t>
  </si>
  <si>
    <t>CONTRAPARTIDA</t>
  </si>
  <si>
    <t>TOMADOR:</t>
  </si>
  <si>
    <t>UNIDADE</t>
  </si>
  <si>
    <t>FEHIDRO</t>
  </si>
  <si>
    <t>FONTE DO RECURSO</t>
  </si>
  <si>
    <t>RESPONSÁVEL TÉCNICO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</si>
  <si>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</si>
  <si>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</si>
  <si>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</si>
  <si>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</si>
  <si>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</si>
  <si>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</si>
  <si>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</si>
  <si>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Nº</t>
  </si>
  <si>
    <t>OUTRAS FONTES FINANCIADORAS</t>
  </si>
  <si>
    <t>GOVERNO DO ESTADO DE SÃO PAULO</t>
  </si>
  <si>
    <t>ANEXO VIII DO MPO
PLANILHA DE ORÇAMENTO</t>
  </si>
  <si>
    <t>TOTAL GERAL</t>
  </si>
  <si>
    <t>unid.</t>
  </si>
  <si>
    <t>Técnico de nível superior - Engenheiro Civil (Anexo XIV - MPO)</t>
  </si>
  <si>
    <t>RESPONSÁVEL LEGAL</t>
  </si>
  <si>
    <t>OBS:</t>
  </si>
  <si>
    <t>m</t>
  </si>
  <si>
    <t>m²</t>
  </si>
  <si>
    <t>m³</t>
  </si>
  <si>
    <t>h</t>
  </si>
  <si>
    <t>Materias  para Setorização</t>
  </si>
  <si>
    <t>Unid.</t>
  </si>
  <si>
    <t>Curva PVC PBA, JE, PB, 90 graus, DN 50 / DE 60 MM, para rede água (SINAPI 001845)</t>
  </si>
  <si>
    <t>SERVIÇOS COMPLEMENTARES</t>
  </si>
  <si>
    <t>EQXDIA</t>
  </si>
  <si>
    <t>PREPARAÇÃO DO SOLO, ABERTURA DE VALA, COMPACTAÇÃO E RECOMPOSIÇÃO ASFÁLTICA</t>
  </si>
  <si>
    <t>MÃO DE OBRA</t>
  </si>
  <si>
    <t>hora</t>
  </si>
  <si>
    <t>Encarregado geral com encargos (Anexo XIV MPO)</t>
  </si>
  <si>
    <t>Encanador ou bombeiro hidráulico com encargos complementares (Anexo XIV MPO)</t>
  </si>
  <si>
    <t>Auxiliar de encanador ou bombeiro hidráulico com encargos complementares (Anexo XIV MPO)</t>
  </si>
  <si>
    <t>Locação das intervenções in loco (70010008 - SABESP)</t>
  </si>
  <si>
    <t>Passadiços de madeira para veículos (70020007 - SABESP)</t>
  </si>
  <si>
    <t>Definição e demarcação da área de reparo com disco de corte (70190008 - SABESP)</t>
  </si>
  <si>
    <t>Remoção de entulho inclusive a carga, transporte e descarga em bota fora a qualquer distância (70190145 - SABESP)</t>
  </si>
  <si>
    <t>Aterro de valas, poços e cavas compactado mecanicamente, sem controle do g.c. (a) (70030019 - SABESP)</t>
  </si>
  <si>
    <t>Preparo de fundo de vala com largura menor que 1,5 m, em local com nível alto de interferência. Af_06/2016 (94098 - SINAPI)</t>
  </si>
  <si>
    <t>Limpeza da obra (SABESP  70190144 )</t>
  </si>
  <si>
    <t>Limpeza de superfícies com jato de alta pressão de ar e agua  ( 99814 - SINAPI)</t>
  </si>
  <si>
    <t>SECRETARIA DE INFRAESTRUTURA E MEIO AMBIENTE</t>
  </si>
  <si>
    <t>TESTE DE ESTANQUEIDADE</t>
  </si>
  <si>
    <t>Medição de pressão pelo processo pitométrico, período mínimo de 7 dias - Comercial</t>
  </si>
  <si>
    <t xml:space="preserve"> Medição de pressão instantânea no entorno dos setores de abastecimento - Comercial</t>
  </si>
  <si>
    <t xml:space="preserve"> Execução medição de pressão por data logger de pressão, pelo período de 48h - Comercial</t>
  </si>
  <si>
    <t>ELABORAÇÃO DE MODELAGEM MATEMÁTICA DO SETOR DO SISTEMA DE DISTRIBUIÇÃO DE ÁGUA</t>
  </si>
  <si>
    <t>Consultor  - MPO - Anexo XIV</t>
  </si>
  <si>
    <t>Engenheiro Civil Pleno( 30 horas para modelagem e 12 horas atualização de cadastro) - MPO - Anexo XIV</t>
  </si>
  <si>
    <t>Técnico de hidráulica  - MPO - Anexo XIV</t>
  </si>
  <si>
    <t>Desenhista Cadista  - MPO - Anexo XIV</t>
  </si>
  <si>
    <t>Retroescavadeira sobre rodas com carregadeira, tração 4x4, potencia 88hp, caçamba 1,0m³, profundidade máxima de escavação 4,37m. SINAPI 5678</t>
  </si>
  <si>
    <t>CHP</t>
  </si>
  <si>
    <t>Sinalização de tráfego (70020005 - SABESP)</t>
  </si>
  <si>
    <t>Pontalete de maderia (SABESP 70070090)</t>
  </si>
  <si>
    <t>Levantamento de pavimentação asfáltica com utilização de martelo perfurador, espessura até 15 cm (70090001 - SABESP)</t>
  </si>
  <si>
    <t>Tratamento superficial duplo - tsd, com emulsao rr-2c (SINAPI 97805)</t>
  </si>
  <si>
    <t>Imprimação ligante (70090086 - SABESP)</t>
  </si>
  <si>
    <t>Binder (SINAPI - 95996)</t>
  </si>
  <si>
    <t>Capa de concreto asfáltico (SINAPI - 95995)</t>
  </si>
  <si>
    <t>Quant. de Intervenções:</t>
  </si>
  <si>
    <t>Caixa de Intervenção = 3,0m x 3,0m x 1,2m</t>
  </si>
  <si>
    <t>Serviços preliminares</t>
  </si>
  <si>
    <t>Sinalização luminosa para obras</t>
  </si>
  <si>
    <t>Preparação do solo, abertura de valas, compactação e recomposição asfáltica</t>
  </si>
  <si>
    <t xml:space="preserve">Definição e demarcação da área de reparo com disco de corte </t>
  </si>
  <si>
    <t>Demolição de Pavimentação Asfáltica com utilização de martelo perfurador, espessura até 15cm, exclusive carga e transporte</t>
  </si>
  <si>
    <t>Remoção de entulho inclusive a carga, transporte e descarga em bota fora a qualquer distância</t>
  </si>
  <si>
    <t>Escavação mecânica de vala em material de 2ª categoria até 2,0m de profundidade com utilização de escavadeira hidraulica</t>
  </si>
  <si>
    <t>Preparo de fundo de vala com largura menor que 1,5m, em local com nível alto de interferência</t>
  </si>
  <si>
    <t>Aterro manual de valas com compactação mecanizada</t>
  </si>
  <si>
    <t>Sub-base em brita ou macadame hidráulico</t>
  </si>
  <si>
    <t>Pintura de ligação em emulsão RR-2C</t>
  </si>
  <si>
    <t>Imprimação de base de pavimentação com ADP CM-30</t>
  </si>
  <si>
    <t>Binder (e=5cm)</t>
  </si>
  <si>
    <t>Capa de concreto asfáltico (e=5cm)</t>
  </si>
  <si>
    <t>Serviços Gerais</t>
  </si>
  <si>
    <t>Limpeza final da obra</t>
  </si>
  <si>
    <r>
      <t>m</t>
    </r>
    <r>
      <rPr>
        <vertAlign val="superscript"/>
        <sz val="10"/>
        <rFont val="Arial"/>
        <family val="2"/>
      </rPr>
      <t>2</t>
    </r>
  </si>
  <si>
    <t>Válvula de gaveta com bolsas e cunha de borracha DN50mm (SABESP HM04207)</t>
  </si>
  <si>
    <t>Junta gibault em FoFo DN50mm (SABESP HM03188)</t>
  </si>
  <si>
    <r>
      <t>Tampa de Ferro Fundido, D 900mm, carga 40ton, articulada</t>
    </r>
    <r>
      <rPr>
        <sz val="11"/>
        <color indexed="10"/>
        <rFont val="Verdana"/>
        <family val="2"/>
      </rPr>
      <t xml:space="preserve"> (SABESP HM01430)</t>
    </r>
  </si>
  <si>
    <t>Caixa em PVC ou PEAD para abrigo do monitor de ponto critico (Comercial)</t>
  </si>
  <si>
    <t>INSTALAÇÃO DO ABRIGO DO CONTROLADOR E MONITOR DE PONTO CRÍTICO</t>
  </si>
  <si>
    <t>1.1</t>
  </si>
  <si>
    <t>2.1</t>
  </si>
  <si>
    <t>2.3</t>
  </si>
  <si>
    <t>2.4</t>
  </si>
  <si>
    <t>3.1</t>
  </si>
  <si>
    <t>3.2</t>
  </si>
  <si>
    <t>3.3</t>
  </si>
  <si>
    <t>4.1</t>
  </si>
  <si>
    <t>4.2</t>
  </si>
  <si>
    <t>4.3</t>
  </si>
  <si>
    <t>1.1.1</t>
  </si>
  <si>
    <t>1.1.2</t>
  </si>
  <si>
    <t>2.1.1</t>
  </si>
  <si>
    <t>2.2.1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</si>
  <si>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</si>
  <si>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</si>
  <si>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</si>
  <si>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</si>
  <si>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</si>
  <si>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</si>
  <si>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</si>
  <si>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</si>
  <si>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</si>
  <si>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</si>
  <si>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</si>
  <si>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</si>
  <si>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2.4.1</t>
  </si>
  <si>
    <t>2.4.2</t>
  </si>
  <si>
    <t>2.4.3</t>
  </si>
  <si>
    <t>2.4.4</t>
  </si>
  <si>
    <t>data base : Fevereiro/2021</t>
  </si>
  <si>
    <t>Sub-base em brita ou macadame hidráulico (70090084 - SABESP)</t>
  </si>
  <si>
    <t>PRÉ OPERAÇÃO DE DISTRITO DE MEDIÇÃO E CONTROLE - SETOR 2</t>
  </si>
  <si>
    <t>PREFEITURA MUNICIPAL DE REGINÓPOLIS</t>
  </si>
  <si>
    <t>AÇÕES DE COMBATE A PERDAS - IMPLANTAÇÃO FÍSICA DO SETOR 2 ,  NO SISTEMA DE ABASTECIMENTO DE ÁGUA DO MUNICÍPIO DE REGINÓPOLIS.</t>
  </si>
  <si>
    <t>IMPLANTAÇÃO FÍSICA DO SETOR 2</t>
  </si>
  <si>
    <t xml:space="preserve"> INTERVENÇÕES NO SETOR 2</t>
  </si>
  <si>
    <t>Válvula redutora de pressão Auto Operada, com piloto preparada para operação de controlador em FoFo com flanges PN10 e DN50mm - Comercial</t>
  </si>
  <si>
    <t>Filtro em FoFo tipo "Y", DN50mm - Comercial</t>
  </si>
  <si>
    <t>Interligação DN50mm</t>
  </si>
  <si>
    <t>Junta Gibault em FoFo DN100 (SABESP HM03177)</t>
  </si>
  <si>
    <t>Válvula de gaveta com bolsas e cunha de borracha DN100mm (SABESP HM04203)</t>
  </si>
  <si>
    <t>Cruzeta FoFo para tubo PBA JE DN50mm (SABESP HM07186)</t>
  </si>
  <si>
    <t>Curva PVC PBA, JE, PB, 90 graus, DN 100 / DE 110 MM, para rede água (SINAPI 001828)</t>
  </si>
  <si>
    <t>Curva PVC PBA, JE, PB, 22 graus, DN 100 / DE 110 MM, para rede água (SINAPI 001839)</t>
  </si>
  <si>
    <t>Te FoFo com flanges DN100 PN10 (SABESP HM03399)</t>
  </si>
  <si>
    <t>Valvula de Gaveta FoFo com Flanges DN100 PN10 (SABESP HM04203)</t>
  </si>
  <si>
    <t>Junta de desmontagem FoFo travada axialmente (SABESP HM03160)</t>
  </si>
  <si>
    <t>Redução concentrica em FoFo com flanges PN10 DN100x50mm (SABESP HM03329)</t>
  </si>
  <si>
    <t>Toco FoFo com flanges PN10 DN100 L=500mm (SABESP HM03518)</t>
  </si>
  <si>
    <t>Curva 90° FoFo com flanges PN10 DN100mm (SABESP HM06292)</t>
  </si>
  <si>
    <t>Tubo FoFo com Flanges PN10 DN100mm L=1980mm (SABESP HM03750)</t>
  </si>
  <si>
    <t>Tampa de Ferro Fundido, D 600mm, carga 40ton, articulada (SABESP HM01428)</t>
  </si>
  <si>
    <t>Tampa de Ferro Fundido, articulada pra registro T8 ou T5 (SABESP HM01366)</t>
  </si>
  <si>
    <t>Adotada tabela de Preços SABESP 11/2020 e SINAPI referente ao mês 12/2020</t>
  </si>
  <si>
    <t>Responsável Técnico</t>
  </si>
  <si>
    <t>PLANILHA DE COMPOSIÇÃO DO BDI - OBRAS DE ÁGUA E ESGOTO CONFORME ACÓRDÃO TCU 2622/2013</t>
  </si>
  <si>
    <t>SERVIÇOS</t>
  </si>
  <si>
    <t>Itens para contratação de serviços</t>
  </si>
  <si>
    <t>QUARTIL 2</t>
  </si>
  <si>
    <t>OBRAS DE ÁGUA E ESGOTO</t>
  </si>
  <si>
    <t>ITENS</t>
  </si>
  <si>
    <t>SIGLAS</t>
  </si>
  <si>
    <t>SEM DESONERAÇÃO</t>
  </si>
  <si>
    <t>(*) COM DESONERAÇÃO</t>
  </si>
  <si>
    <t>Quartil 1</t>
  </si>
  <si>
    <t>Quartil 2</t>
  </si>
  <si>
    <t>Quartil 3</t>
  </si>
  <si>
    <t>ADMINISTRAÇÃO CENTRAL</t>
  </si>
  <si>
    <t>AC</t>
  </si>
  <si>
    <t>Administração Central</t>
  </si>
  <si>
    <t>SEGURO + GARANTIA</t>
  </si>
  <si>
    <t>S+G</t>
  </si>
  <si>
    <t>Seguro e Garantia</t>
  </si>
  <si>
    <t>RISCO</t>
  </si>
  <si>
    <t>R</t>
  </si>
  <si>
    <t>Risco</t>
  </si>
  <si>
    <t>DESPESA FINANCEIRA</t>
  </si>
  <si>
    <t>DF</t>
  </si>
  <si>
    <t>Despesa Financeira</t>
  </si>
  <si>
    <t>LUCRO</t>
  </si>
  <si>
    <t>L</t>
  </si>
  <si>
    <t>Lucro</t>
  </si>
  <si>
    <t>TRIBUTOS</t>
  </si>
  <si>
    <t>PC</t>
  </si>
  <si>
    <t>PIS e COFINS</t>
  </si>
  <si>
    <t>ISS</t>
  </si>
  <si>
    <t>CPRB</t>
  </si>
  <si>
    <t>BDI PARA OBRAS DE ÁGUA E ESGOTO CF ACÓRDÃO TCU 2622/2013</t>
  </si>
  <si>
    <t>CPRB (DESONERAÇÃO)</t>
  </si>
  <si>
    <t>TT</t>
  </si>
  <si>
    <t>TOTAL TRIBUTOS</t>
  </si>
  <si>
    <t>BDI</t>
  </si>
  <si>
    <t>Fórmula BDI conforme Acórdão 2622/2013</t>
  </si>
  <si>
    <r>
      <t xml:space="preserve">BDI = </t>
    </r>
    <r>
      <rPr>
        <b/>
        <u val="single"/>
        <sz val="8"/>
        <rFont val="Arial"/>
        <family val="2"/>
      </rPr>
      <t>(1+AC+S+G+R)*(1+DF)*(1+L)</t>
    </r>
    <r>
      <rPr>
        <b/>
        <sz val="8"/>
        <rFont val="Arial"/>
        <family val="2"/>
      </rPr>
      <t xml:space="preserve"> - 1</t>
    </r>
  </si>
  <si>
    <t>(1-T)</t>
  </si>
  <si>
    <t>MATERIAS</t>
  </si>
  <si>
    <t>MATERIAIS</t>
  </si>
  <si>
    <t>Itens para fornecimento de materiais e equipamentos</t>
  </si>
  <si>
    <t>T</t>
  </si>
  <si>
    <t>BDI PARA MATERIAIS CF ACÓRDÃO TCU 2622/2013</t>
  </si>
  <si>
    <t>xxxxxxxxxxxxxx</t>
  </si>
  <si>
    <t>CREA: xxxxxxxxx</t>
  </si>
  <si>
    <t>Ronaldo da Silva Correa</t>
  </si>
  <si>
    <t>CPF: 347.755.538-44</t>
  </si>
  <si>
    <t>IMPLANTAÇÃO DE VRP - VALVULA CONTROLADORA DE PRESSÃO EM SETOR DE ABASTECIMENTO, DOTADO DE CONTROLADOR E MONITORAMENTO DE PONTO CRÍTICO.</t>
  </si>
  <si>
    <t>Fornecimento de controlador de VRP, dotada de controlador de controlador e ponto critico (Comercial)</t>
  </si>
  <si>
    <t>Fornecimento e Instalação de CCO - Centro de Controle Operacional, inclusive software destinado ao controle e operação da VRP - Valvula de Controle de Pressão (Comercial)</t>
  </si>
  <si>
    <t>Fornecimento de VRP- Valvula Controladora de Presão, dotada de controlador e ponto critico (Comercial)</t>
  </si>
  <si>
    <t>und.</t>
  </si>
  <si>
    <t>3.4</t>
  </si>
  <si>
    <t>Star-Up, calibração e operação do sistema por 30 dias (comercial)</t>
  </si>
  <si>
    <t>4.4</t>
  </si>
  <si>
    <t>4.5</t>
  </si>
  <si>
    <t>4.6</t>
  </si>
  <si>
    <t>4.7</t>
  </si>
  <si>
    <t xml:space="preserve">Caixa pré-moldada de concreto armado, norma de sobrecarga NBR 7188, medindo 2,00 x 1,50 x 2,00metros, com fundo, 02 aduelas e laje de cobertura (comercial)  </t>
  </si>
  <si>
    <t>BDI de 28% removido da tabela SABESP, e aplicado o BDI tanto da Tabela Sabesp como SINAPI o BDI de 27,58% para os Serviços e 15,28% para materias. conforme Acórdão TCU 2622/2013 - Em anexo</t>
  </si>
  <si>
    <t>IMPLANTAÇÃO DO PROJETO DE SETORIZAÇÃO NO SISTEMA DE ABASTECIMENTO DE REGINÓPOLIS - SETOR 02</t>
  </si>
  <si>
    <t>1.1.1.1</t>
  </si>
  <si>
    <t>1.1.1.2</t>
  </si>
  <si>
    <t>1.1.1.3</t>
  </si>
  <si>
    <t>1.1.2.1</t>
  </si>
  <si>
    <t>1.1.2.2</t>
  </si>
  <si>
    <t>1.1.2.3</t>
  </si>
  <si>
    <t>1.1.2.4</t>
  </si>
  <si>
    <t>2.1.1.1</t>
  </si>
  <si>
    <t>2.1.1.2</t>
  </si>
  <si>
    <t>2.1.1.3</t>
  </si>
  <si>
    <t>2.1.1.4</t>
  </si>
  <si>
    <t>2.2.1.1</t>
  </si>
  <si>
    <t>Guincho mecânico hidráulico, destinado a instalação da caixa pré moldada, mínimo 18 ton/metricas (SINAPI 5928)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</si>
  <si>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</si>
  <si>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</si>
  <si>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</si>
  <si>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</si>
  <si>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</si>
  <si>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</si>
  <si>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</si>
  <si>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</si>
  <si>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</si>
  <si>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</si>
  <si>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</si>
  <si>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</si>
  <si>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</si>
  <si>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</si>
  <si>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</si>
  <si>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t>2.2.1.17</t>
  </si>
  <si>
    <t>2.2.1.18</t>
  </si>
  <si>
    <t>2.2.1.19</t>
  </si>
  <si>
    <t>2.2.1.20</t>
  </si>
  <si>
    <t>4.8</t>
  </si>
  <si>
    <t>4.9</t>
  </si>
  <si>
    <t>Otavio Cabral da Silva</t>
  </si>
  <si>
    <t>CREA:506.996.698-7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</si>
</sst>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&quot;R$&quot;\ #,##0.00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[$-416]dddd\,\ d&quot; de &quot;mmmm&quot; de &quot;yyyy"/>
    <numFmt numFmtId="190" formatCode="dd\-mmm\-yy"/>
    <numFmt numFmtId="191" formatCode="#,##0.0000000_ ;\-#,##0.0000000\ "/>
    <numFmt numFmtId="192" formatCode="d/m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81">
    <font>
      <sz val="10"/>
      <name val="Arial"/>
      <family val="0"/>
    </font>
    <font>
      <sz val="10"/>
      <color indexed="8"/>
      <name val="Arial"/>
      <family val="2"/>
    </font>
    <font>
      <sz val="11"/>
      <color indexed="56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b/>
      <sz val="9"/>
      <color indexed="62"/>
      <name val="Verdana"/>
      <family val="2"/>
    </font>
    <font>
      <sz val="11"/>
      <color indexed="62"/>
      <name val="Verdana"/>
      <family val="2"/>
    </font>
    <font>
      <b/>
      <sz val="11"/>
      <color indexed="62"/>
      <name val="Verdana"/>
      <family val="2"/>
    </font>
    <font>
      <b/>
      <i/>
      <sz val="11"/>
      <color indexed="62"/>
      <name val="Verdana"/>
      <family val="2"/>
    </font>
    <font>
      <b/>
      <sz val="8"/>
      <color indexed="62"/>
      <name val="Verdana"/>
      <family val="2"/>
    </font>
    <font>
      <sz val="10"/>
      <color indexed="10"/>
      <name val="Verdana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Verdana"/>
      <family val="2"/>
    </font>
    <font>
      <b/>
      <sz val="14"/>
      <color indexed="62"/>
      <name val="Verdana"/>
      <family val="2"/>
    </font>
    <font>
      <b/>
      <sz val="11"/>
      <color indexed="56"/>
      <name val="Arial"/>
      <family val="2"/>
    </font>
    <font>
      <b/>
      <sz val="2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9"/>
      <color theme="4" tint="-0.24997000396251678"/>
      <name val="Verdana"/>
      <family val="2"/>
    </font>
    <font>
      <sz val="11"/>
      <color theme="4" tint="-0.24997000396251678"/>
      <name val="Verdana"/>
      <family val="2"/>
    </font>
    <font>
      <b/>
      <sz val="11"/>
      <color theme="4" tint="-0.24997000396251678"/>
      <name val="Verdana"/>
      <family val="2"/>
    </font>
    <font>
      <b/>
      <i/>
      <sz val="11"/>
      <color theme="4" tint="-0.24997000396251678"/>
      <name val="Verdana"/>
      <family val="2"/>
    </font>
    <font>
      <b/>
      <sz val="8"/>
      <color theme="4" tint="-0.24997000396251678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4"/>
      <color theme="4" tint="-0.24997000396251678"/>
      <name val="Verdana"/>
      <family val="2"/>
    </font>
    <font>
      <sz val="10"/>
      <color rgb="FF003366"/>
      <name val="Verdana"/>
      <family val="2"/>
    </font>
    <font>
      <b/>
      <sz val="11"/>
      <color rgb="FF003366"/>
      <name val="Arial"/>
      <family val="2"/>
    </font>
    <font>
      <b/>
      <sz val="2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ck">
        <color indexed="56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174" fontId="69" fillId="0" borderId="0" xfId="0" applyNumberFormat="1" applyFont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7" fontId="71" fillId="0" borderId="15" xfId="0" applyNumberFormat="1" applyFont="1" applyBorder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4" fontId="69" fillId="0" borderId="0" xfId="0" applyNumberFormat="1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" fontId="72" fillId="0" borderId="16" xfId="0" applyNumberFormat="1" applyFont="1" applyFill="1" applyBorder="1" applyAlignment="1">
      <alignment horizontal="center" vertical="center"/>
    </xf>
    <xf numFmtId="4" fontId="70" fillId="0" borderId="16" xfId="0" applyNumberFormat="1" applyFont="1" applyFill="1" applyBorder="1" applyAlignment="1">
      <alignment vertical="center" wrapText="1"/>
    </xf>
    <xf numFmtId="173" fontId="72" fillId="0" borderId="0" xfId="0" applyNumberFormat="1" applyFont="1" applyFill="1" applyBorder="1" applyAlignment="1">
      <alignment horizontal="center" vertical="center"/>
    </xf>
    <xf numFmtId="4" fontId="71" fillId="0" borderId="17" xfId="0" applyNumberFormat="1" applyFont="1" applyFill="1" applyBorder="1" applyAlignment="1">
      <alignment vertical="center"/>
    </xf>
    <xf numFmtId="4" fontId="71" fillId="0" borderId="11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vertical="center"/>
    </xf>
    <xf numFmtId="4" fontId="68" fillId="0" borderId="0" xfId="0" applyNumberFormat="1" applyFont="1" applyAlignment="1">
      <alignment vertical="center"/>
    </xf>
    <xf numFmtId="171" fontId="71" fillId="0" borderId="11" xfId="51" applyNumberFormat="1" applyFont="1" applyFill="1" applyBorder="1" applyAlignment="1">
      <alignment horizontal="justify" vertical="center" wrapText="1"/>
      <protection/>
    </xf>
    <xf numFmtId="171" fontId="71" fillId="0" borderId="11" xfId="51" applyNumberFormat="1" applyFont="1" applyFill="1" applyBorder="1" applyAlignment="1">
      <alignment horizontal="center" vertical="center" wrapText="1"/>
      <protection/>
    </xf>
    <xf numFmtId="2" fontId="71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171" fontId="72" fillId="0" borderId="11" xfId="51" applyNumberFormat="1" applyFont="1" applyFill="1" applyBorder="1" applyAlignment="1">
      <alignment horizontal="justify" vertical="center" wrapText="1"/>
      <protection/>
    </xf>
    <xf numFmtId="0" fontId="71" fillId="0" borderId="11" xfId="51" applyNumberFormat="1" applyFont="1" applyFill="1" applyBorder="1" applyAlignment="1">
      <alignment horizontal="justify" vertical="center" wrapText="1"/>
      <protection/>
    </xf>
    <xf numFmtId="0" fontId="72" fillId="0" borderId="11" xfId="51" applyNumberFormat="1" applyFont="1" applyFill="1" applyBorder="1" applyAlignment="1">
      <alignment horizontal="justify" vertical="center" wrapText="1"/>
      <protection/>
    </xf>
    <xf numFmtId="174" fontId="69" fillId="0" borderId="0" xfId="0" applyNumberFormat="1" applyFont="1" applyFill="1" applyAlignment="1">
      <alignment vertical="center"/>
    </xf>
    <xf numFmtId="4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171" fontId="71" fillId="0" borderId="18" xfId="51" applyNumberFormat="1" applyFont="1" applyFill="1" applyBorder="1" applyAlignment="1">
      <alignment horizontal="center" vertical="center" wrapText="1"/>
      <protection/>
    </xf>
    <xf numFmtId="171" fontId="71" fillId="0" borderId="11" xfId="51" applyNumberFormat="1" applyFont="1" applyFill="1" applyBorder="1" applyAlignment="1">
      <alignment horizontal="justify" vertical="center"/>
      <protection/>
    </xf>
    <xf numFmtId="171" fontId="71" fillId="0" borderId="18" xfId="51" applyNumberFormat="1" applyFont="1" applyFill="1" applyBorder="1" applyAlignment="1">
      <alignment horizontal="justify" vertical="center"/>
      <protection/>
    </xf>
    <xf numFmtId="171" fontId="72" fillId="0" borderId="19" xfId="0" applyNumberFormat="1" applyFont="1" applyFill="1" applyBorder="1" applyAlignment="1">
      <alignment horizontal="center" vertical="center"/>
    </xf>
    <xf numFmtId="171" fontId="72" fillId="0" borderId="20" xfId="0" applyNumberFormat="1" applyFont="1" applyFill="1" applyBorder="1" applyAlignment="1">
      <alignment horizontal="center" vertical="center"/>
    </xf>
    <xf numFmtId="4" fontId="72" fillId="0" borderId="16" xfId="0" applyNumberFormat="1" applyFont="1" applyFill="1" applyBorder="1" applyAlignment="1" applyProtection="1">
      <alignment vertical="center"/>
      <protection hidden="1" locked="0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2" fontId="68" fillId="0" borderId="0" xfId="0" applyNumberFormat="1" applyFont="1" applyAlignment="1">
      <alignment vertical="center"/>
    </xf>
    <xf numFmtId="174" fontId="72" fillId="0" borderId="0" xfId="0" applyNumberFormat="1" applyFont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2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2" fontId="72" fillId="0" borderId="0" xfId="0" applyNumberFormat="1" applyFont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2" fontId="69" fillId="0" borderId="0" xfId="0" applyNumberFormat="1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2" fontId="71" fillId="0" borderId="0" xfId="0" applyNumberFormat="1" applyFont="1" applyBorder="1" applyAlignment="1">
      <alignment vertical="center"/>
    </xf>
    <xf numFmtId="2" fontId="68" fillId="0" borderId="0" xfId="0" applyNumberFormat="1" applyFont="1" applyBorder="1" applyAlignment="1">
      <alignment horizontal="center" vertical="center"/>
    </xf>
    <xf numFmtId="2" fontId="68" fillId="0" borderId="0" xfId="0" applyNumberFormat="1" applyFont="1" applyFill="1" applyAlignment="1">
      <alignment horizontal="center" vertical="center"/>
    </xf>
    <xf numFmtId="171" fontId="72" fillId="0" borderId="20" xfId="0" applyNumberFormat="1" applyFont="1" applyFill="1" applyBorder="1" applyAlignment="1">
      <alignment horizontal="justify" vertical="center"/>
    </xf>
    <xf numFmtId="0" fontId="72" fillId="0" borderId="0" xfId="0" applyFont="1" applyFill="1" applyBorder="1" applyAlignment="1">
      <alignment horizontal="justify" vertical="center"/>
    </xf>
    <xf numFmtId="0" fontId="74" fillId="0" borderId="23" xfId="0" applyFont="1" applyFill="1" applyBorder="1" applyAlignment="1">
      <alignment horizontal="center" vertical="center" wrapText="1"/>
    </xf>
    <xf numFmtId="175" fontId="68" fillId="0" borderId="0" xfId="0" applyNumberFormat="1" applyFont="1" applyAlignment="1">
      <alignment vertical="center"/>
    </xf>
    <xf numFmtId="178" fontId="68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2" fontId="72" fillId="0" borderId="0" xfId="0" applyNumberFormat="1" applyFont="1" applyBorder="1" applyAlignment="1">
      <alignment horizontal="left" vertical="center"/>
    </xf>
    <xf numFmtId="181" fontId="68" fillId="0" borderId="0" xfId="57" applyNumberFormat="1" applyFont="1" applyFill="1" applyAlignment="1">
      <alignment vertical="center"/>
    </xf>
    <xf numFmtId="4" fontId="72" fillId="0" borderId="15" xfId="0" applyNumberFormat="1" applyFont="1" applyBorder="1" applyAlignment="1">
      <alignment horizontal="center" vertical="center"/>
    </xf>
    <xf numFmtId="4" fontId="72" fillId="0" borderId="24" xfId="0" applyNumberFormat="1" applyFont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 wrapText="1"/>
    </xf>
    <xf numFmtId="4" fontId="72" fillId="0" borderId="21" xfId="0" applyNumberFormat="1" applyFont="1" applyFill="1" applyBorder="1" applyAlignment="1">
      <alignment horizontal="center" vertical="center"/>
    </xf>
    <xf numFmtId="4" fontId="72" fillId="0" borderId="23" xfId="0" applyNumberFormat="1" applyFont="1" applyBorder="1" applyAlignment="1">
      <alignment horizontal="center" vertical="center"/>
    </xf>
    <xf numFmtId="4" fontId="72" fillId="0" borderId="0" xfId="0" applyNumberFormat="1" applyFont="1" applyFill="1" applyBorder="1" applyAlignment="1">
      <alignment horizontal="center" vertical="center"/>
    </xf>
    <xf numFmtId="4" fontId="72" fillId="0" borderId="0" xfId="0" applyNumberFormat="1" applyFont="1" applyFill="1" applyBorder="1" applyAlignment="1">
      <alignment horizontal="left" vertical="center"/>
    </xf>
    <xf numFmtId="4" fontId="73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vertical="center"/>
    </xf>
    <xf numFmtId="185" fontId="72" fillId="0" borderId="0" xfId="57" applyNumberFormat="1" applyFont="1" applyAlignment="1">
      <alignment vertical="center"/>
    </xf>
    <xf numFmtId="183" fontId="68" fillId="0" borderId="0" xfId="57" applyNumberFormat="1" applyFont="1" applyAlignment="1">
      <alignment vertical="center"/>
    </xf>
    <xf numFmtId="188" fontId="68" fillId="0" borderId="0" xfId="57" applyNumberFormat="1" applyFont="1" applyAlignment="1">
      <alignment horizontal="center" vertical="center"/>
    </xf>
    <xf numFmtId="185" fontId="68" fillId="0" borderId="0" xfId="0" applyNumberFormat="1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51">
      <alignment/>
      <protection/>
    </xf>
    <xf numFmtId="0" fontId="40" fillId="0" borderId="25" xfId="51" applyFont="1" applyBorder="1">
      <alignment/>
      <protection/>
    </xf>
    <xf numFmtId="0" fontId="40" fillId="0" borderId="26" xfId="51" applyFont="1" applyFill="1" applyBorder="1">
      <alignment/>
      <protection/>
    </xf>
    <xf numFmtId="0" fontId="41" fillId="0" borderId="26" xfId="51" applyFont="1" applyBorder="1">
      <alignment/>
      <protection/>
    </xf>
    <xf numFmtId="0" fontId="40" fillId="0" borderId="26" xfId="51" applyFont="1" applyBorder="1">
      <alignment/>
      <protection/>
    </xf>
    <xf numFmtId="0" fontId="40" fillId="0" borderId="27" xfId="51" applyFont="1" applyBorder="1" applyAlignment="1">
      <alignment horizontal="center"/>
      <protection/>
    </xf>
    <xf numFmtId="0" fontId="40" fillId="0" borderId="28" xfId="51" applyFont="1" applyFill="1" applyBorder="1">
      <alignment/>
      <protection/>
    </xf>
    <xf numFmtId="0" fontId="40" fillId="0" borderId="0" xfId="51" applyFont="1" applyFill="1" applyBorder="1">
      <alignment/>
      <protection/>
    </xf>
    <xf numFmtId="0" fontId="40" fillId="33" borderId="29" xfId="51" applyFont="1" applyFill="1" applyBorder="1">
      <alignment/>
      <protection/>
    </xf>
    <xf numFmtId="0" fontId="42" fillId="33" borderId="30" xfId="51" applyFont="1" applyFill="1" applyBorder="1" applyAlignment="1">
      <alignment horizontal="center" vertical="center"/>
      <protection/>
    </xf>
    <xf numFmtId="0" fontId="0" fillId="0" borderId="28" xfId="51" applyFill="1" applyBorder="1">
      <alignment/>
      <protection/>
    </xf>
    <xf numFmtId="0" fontId="0" fillId="0" borderId="0" xfId="51" applyFill="1" applyBorder="1">
      <alignment/>
      <protection/>
    </xf>
    <xf numFmtId="0" fontId="40" fillId="33" borderId="31" xfId="51" applyFont="1" applyFill="1" applyBorder="1">
      <alignment/>
      <protection/>
    </xf>
    <xf numFmtId="0" fontId="40" fillId="33" borderId="32" xfId="51" applyFont="1" applyFill="1" applyBorder="1">
      <alignment/>
      <protection/>
    </xf>
    <xf numFmtId="0" fontId="5" fillId="0" borderId="33" xfId="55" applyFont="1" applyBorder="1" applyAlignment="1">
      <alignment vertical="center"/>
      <protection/>
    </xf>
    <xf numFmtId="0" fontId="43" fillId="0" borderId="0" xfId="51" applyFont="1" applyFill="1" applyBorder="1">
      <alignment/>
      <protection/>
    </xf>
    <xf numFmtId="0" fontId="40" fillId="0" borderId="34" xfId="51" applyFont="1" applyFill="1" applyBorder="1" applyAlignment="1">
      <alignment horizontal="center"/>
      <protection/>
    </xf>
    <xf numFmtId="0" fontId="0" fillId="0" borderId="33" xfId="55" applyFont="1" applyFill="1" applyBorder="1" applyAlignment="1">
      <alignment vertical="center"/>
      <protection/>
    </xf>
    <xf numFmtId="4" fontId="0" fillId="0" borderId="35" xfId="55" applyNumberFormat="1" applyFill="1" applyBorder="1" applyAlignment="1">
      <alignment horizontal="center" vertical="center"/>
      <protection/>
    </xf>
    <xf numFmtId="0" fontId="0" fillId="0" borderId="35" xfId="55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0" fillId="0" borderId="28" xfId="55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5" fillId="0" borderId="33" xfId="51" applyFont="1" applyFill="1" applyBorder="1">
      <alignment/>
      <protection/>
    </xf>
    <xf numFmtId="171" fontId="40" fillId="0" borderId="0" xfId="74" applyFont="1" applyFill="1" applyBorder="1" applyAlignment="1">
      <alignment/>
    </xf>
    <xf numFmtId="0" fontId="40" fillId="0" borderId="33" xfId="51" applyFont="1" applyFill="1" applyBorder="1" applyAlignment="1">
      <alignment vertical="center"/>
      <protection/>
    </xf>
    <xf numFmtId="0" fontId="0" fillId="0" borderId="35" xfId="55" applyFill="1" applyBorder="1" applyAlignment="1">
      <alignment horizontal="center" vertical="center"/>
      <protection/>
    </xf>
    <xf numFmtId="4" fontId="0" fillId="0" borderId="35" xfId="55" applyNumberFormat="1" applyFont="1" applyFill="1" applyBorder="1" applyAlignment="1">
      <alignment horizontal="center" vertical="center"/>
      <protection/>
    </xf>
    <xf numFmtId="0" fontId="42" fillId="0" borderId="28" xfId="51" applyFont="1" applyFill="1" applyBorder="1" applyAlignment="1">
      <alignment vertical="center"/>
      <protection/>
    </xf>
    <xf numFmtId="0" fontId="40" fillId="0" borderId="0" xfId="51" applyFont="1" applyFill="1" applyBorder="1" applyAlignment="1">
      <alignment horizontal="center"/>
      <protection/>
    </xf>
    <xf numFmtId="0" fontId="42" fillId="0" borderId="0" xfId="51" applyFont="1" applyFill="1" applyBorder="1" applyAlignment="1">
      <alignment vertical="center"/>
      <protection/>
    </xf>
    <xf numFmtId="0" fontId="42" fillId="0" borderId="33" xfId="51" applyFont="1" applyFill="1" applyBorder="1" applyAlignment="1">
      <alignment vertical="center"/>
      <protection/>
    </xf>
    <xf numFmtId="0" fontId="40" fillId="0" borderId="36" xfId="51" applyFont="1" applyFill="1" applyBorder="1" applyAlignment="1">
      <alignment vertical="center"/>
      <protection/>
    </xf>
    <xf numFmtId="4" fontId="0" fillId="0" borderId="37" xfId="55" applyNumberFormat="1" applyFill="1" applyBorder="1" applyAlignment="1">
      <alignment horizontal="center" vertical="center"/>
      <protection/>
    </xf>
    <xf numFmtId="0" fontId="0" fillId="0" borderId="38" xfId="55" applyFont="1" applyFill="1" applyBorder="1" applyAlignment="1">
      <alignment horizontal="center" vertical="center"/>
      <protection/>
    </xf>
    <xf numFmtId="0" fontId="40" fillId="0" borderId="22" xfId="51" applyFont="1" applyFill="1" applyBorder="1" applyAlignment="1">
      <alignment vertical="center"/>
      <protection/>
    </xf>
    <xf numFmtId="0" fontId="40" fillId="0" borderId="39" xfId="51" applyFont="1" applyFill="1" applyBorder="1" applyAlignment="1">
      <alignment horizontal="center"/>
      <protection/>
    </xf>
    <xf numFmtId="0" fontId="40" fillId="0" borderId="35" xfId="51" applyFont="1" applyFill="1" applyBorder="1">
      <alignment/>
      <protection/>
    </xf>
    <xf numFmtId="0" fontId="40" fillId="0" borderId="35" xfId="51" applyFont="1" applyFill="1" applyBorder="1" applyAlignment="1">
      <alignment horizontal="center"/>
      <protection/>
    </xf>
    <xf numFmtId="174" fontId="76" fillId="0" borderId="0" xfId="0" applyNumberFormat="1" applyFont="1" applyAlignment="1">
      <alignment vertical="center"/>
    </xf>
    <xf numFmtId="0" fontId="71" fillId="0" borderId="0" xfId="0" applyFont="1" applyFill="1" applyBorder="1" applyAlignment="1">
      <alignment horizontal="justify" vertical="center"/>
    </xf>
    <xf numFmtId="2" fontId="71" fillId="0" borderId="0" xfId="0" applyNumberFormat="1" applyFont="1" applyFill="1" applyAlignment="1">
      <alignment horizontal="left" vertical="center"/>
    </xf>
    <xf numFmtId="2" fontId="68" fillId="0" borderId="0" xfId="0" applyNumberFormat="1" applyFont="1" applyFill="1" applyAlignment="1">
      <alignment horizontal="left" vertical="center"/>
    </xf>
    <xf numFmtId="17" fontId="71" fillId="0" borderId="20" xfId="0" applyNumberFormat="1" applyFont="1" applyFill="1" applyBorder="1" applyAlignment="1">
      <alignment horizontal="justify" vertical="center"/>
    </xf>
    <xf numFmtId="0" fontId="72" fillId="0" borderId="20" xfId="0" applyFont="1" applyFill="1" applyBorder="1" applyAlignment="1">
      <alignment horizontal="justify" vertical="center"/>
    </xf>
    <xf numFmtId="0" fontId="68" fillId="0" borderId="40" xfId="0" applyFont="1" applyFill="1" applyBorder="1" applyAlignment="1">
      <alignment horizontal="justify" vertical="center"/>
    </xf>
    <xf numFmtId="0" fontId="72" fillId="0" borderId="0" xfId="0" applyFont="1" applyFill="1" applyBorder="1" applyAlignment="1">
      <alignment horizontal="justify" vertical="center" wrapText="1"/>
    </xf>
    <xf numFmtId="0" fontId="68" fillId="0" borderId="0" xfId="0" applyFont="1" applyFill="1" applyBorder="1" applyAlignment="1">
      <alignment horizontal="justify" vertical="center" wrapText="1"/>
    </xf>
    <xf numFmtId="0" fontId="69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0" fontId="0" fillId="0" borderId="0" xfId="50">
      <alignment/>
      <protection/>
    </xf>
    <xf numFmtId="0" fontId="10" fillId="0" borderId="0" xfId="52" applyFont="1">
      <alignment/>
    </xf>
    <xf numFmtId="0" fontId="9" fillId="0" borderId="0" xfId="52" applyFont="1">
      <alignment/>
    </xf>
    <xf numFmtId="0" fontId="10" fillId="0" borderId="34" xfId="52" applyFont="1" applyBorder="1">
      <alignment/>
    </xf>
    <xf numFmtId="0" fontId="10" fillId="0" borderId="28" xfId="52" applyFont="1" applyBorder="1">
      <alignment/>
    </xf>
    <xf numFmtId="4" fontId="9" fillId="32" borderId="41" xfId="52" applyNumberFormat="1" applyFont="1" applyFill="1" applyBorder="1" applyAlignment="1">
      <alignment horizontal="center" vertical="center"/>
    </xf>
    <xf numFmtId="4" fontId="9" fillId="32" borderId="35" xfId="52" applyNumberFormat="1" applyFont="1" applyFill="1" applyBorder="1" applyAlignment="1">
      <alignment horizontal="center" vertical="center"/>
    </xf>
    <xf numFmtId="0" fontId="10" fillId="8" borderId="35" xfId="52" applyFont="1" applyFill="1" applyBorder="1" applyAlignment="1">
      <alignment horizontal="center" vertical="center"/>
    </xf>
    <xf numFmtId="0" fontId="10" fillId="8" borderId="42" xfId="52" applyFont="1" applyFill="1" applyBorder="1" applyAlignment="1">
      <alignment horizontal="center" vertical="center"/>
    </xf>
    <xf numFmtId="49" fontId="10" fillId="34" borderId="43" xfId="52" applyNumberFormat="1" applyFont="1" applyFill="1" applyBorder="1" applyAlignment="1">
      <alignment horizontal="left" vertical="center"/>
    </xf>
    <xf numFmtId="192" fontId="10" fillId="34" borderId="44" xfId="52" applyNumberFormat="1" applyFont="1" applyFill="1" applyBorder="1" applyAlignment="1">
      <alignment horizontal="center" vertical="center"/>
    </xf>
    <xf numFmtId="0" fontId="10" fillId="34" borderId="45" xfId="52" applyFont="1" applyFill="1" applyBorder="1" applyAlignment="1">
      <alignment horizontal="center" vertical="center"/>
    </xf>
    <xf numFmtId="10" fontId="10" fillId="34" borderId="46" xfId="52" applyNumberFormat="1" applyFont="1" applyFill="1" applyBorder="1" applyAlignment="1">
      <alignment horizontal="center" vertical="center"/>
    </xf>
    <xf numFmtId="0" fontId="10" fillId="0" borderId="45" xfId="52" applyFont="1" applyBorder="1" applyAlignment="1">
      <alignment horizontal="center" vertical="center"/>
    </xf>
    <xf numFmtId="10" fontId="10" fillId="0" borderId="46" xfId="52" applyNumberFormat="1" applyFont="1" applyBorder="1" applyAlignment="1">
      <alignment horizontal="center" vertical="center"/>
    </xf>
    <xf numFmtId="0" fontId="10" fillId="0" borderId="47" xfId="52" applyFont="1" applyBorder="1">
      <alignment/>
    </xf>
    <xf numFmtId="10" fontId="10" fillId="0" borderId="35" xfId="59" applyNumberFormat="1" applyFont="1" applyBorder="1" applyAlignment="1">
      <alignment horizontal="center"/>
    </xf>
    <xf numFmtId="10" fontId="10" fillId="0" borderId="42" xfId="59" applyNumberFormat="1" applyFont="1" applyBorder="1" applyAlignment="1">
      <alignment horizontal="center"/>
    </xf>
    <xf numFmtId="49" fontId="10" fillId="0" borderId="43" xfId="52" applyNumberFormat="1" applyFont="1" applyBorder="1" applyAlignment="1">
      <alignment horizontal="left" vertical="center"/>
    </xf>
    <xf numFmtId="192" fontId="10" fillId="0" borderId="44" xfId="52" applyNumberFormat="1" applyFont="1" applyBorder="1" applyAlignment="1">
      <alignment horizontal="center" vertical="center"/>
    </xf>
    <xf numFmtId="10" fontId="10" fillId="0" borderId="48" xfId="52" applyNumberFormat="1" applyFont="1" applyBorder="1" applyAlignment="1">
      <alignment horizontal="center" vertical="center"/>
    </xf>
    <xf numFmtId="0" fontId="10" fillId="8" borderId="35" xfId="52" applyFont="1" applyFill="1" applyBorder="1">
      <alignment/>
    </xf>
    <xf numFmtId="10" fontId="10" fillId="8" borderId="35" xfId="59" applyNumberFormat="1" applyFont="1" applyFill="1" applyBorder="1" applyAlignment="1">
      <alignment horizontal="center"/>
    </xf>
    <xf numFmtId="10" fontId="10" fillId="8" borderId="42" xfId="59" applyNumberFormat="1" applyFont="1" applyFill="1" applyBorder="1" applyAlignment="1">
      <alignment horizontal="center"/>
    </xf>
    <xf numFmtId="10" fontId="10" fillId="34" borderId="48" xfId="52" applyNumberFormat="1" applyFont="1" applyFill="1" applyBorder="1" applyAlignment="1">
      <alignment horizontal="center" vertical="center"/>
    </xf>
    <xf numFmtId="0" fontId="10" fillId="0" borderId="35" xfId="52" applyFont="1" applyBorder="1">
      <alignment/>
    </xf>
    <xf numFmtId="0" fontId="10" fillId="0" borderId="45" xfId="52" applyFont="1" applyBorder="1" applyAlignment="1">
      <alignment horizontal="center" vertical="center" wrapText="1"/>
    </xf>
    <xf numFmtId="10" fontId="10" fillId="0" borderId="48" xfId="52" applyNumberFormat="1" applyFont="1" applyBorder="1" applyAlignment="1">
      <alignment horizontal="center" vertical="center" wrapText="1"/>
    </xf>
    <xf numFmtId="49" fontId="10" fillId="34" borderId="43" xfId="52" applyNumberFormat="1" applyFont="1" applyFill="1" applyBorder="1" applyAlignment="1">
      <alignment horizontal="left" vertical="center" wrapText="1"/>
    </xf>
    <xf numFmtId="192" fontId="10" fillId="34" borderId="44" xfId="52" applyNumberFormat="1" applyFont="1" applyFill="1" applyBorder="1" applyAlignment="1">
      <alignment horizontal="center" vertical="center" wrapText="1"/>
    </xf>
    <xf numFmtId="0" fontId="10" fillId="0" borderId="0" xfId="52" applyFont="1" applyAlignment="1">
      <alignment wrapText="1"/>
    </xf>
    <xf numFmtId="0" fontId="10" fillId="34" borderId="45" xfId="52" applyFont="1" applyFill="1" applyBorder="1" applyAlignment="1">
      <alignment horizontal="center" vertical="center" wrapText="1"/>
    </xf>
    <xf numFmtId="10" fontId="10" fillId="34" borderId="48" xfId="52" applyNumberFormat="1" applyFont="1" applyFill="1" applyBorder="1" applyAlignment="1">
      <alignment horizontal="center" vertical="center" wrapText="1"/>
    </xf>
    <xf numFmtId="49" fontId="9" fillId="0" borderId="43" xfId="52" applyNumberFormat="1" applyFont="1" applyBorder="1" applyAlignment="1">
      <alignment horizontal="left" vertical="center" wrapText="1"/>
    </xf>
    <xf numFmtId="192" fontId="10" fillId="0" borderId="44" xfId="52" applyNumberFormat="1" applyFont="1" applyBorder="1" applyAlignment="1">
      <alignment horizontal="center" vertical="center" wrapText="1"/>
    </xf>
    <xf numFmtId="49" fontId="10" fillId="0" borderId="43" xfId="52" applyNumberFormat="1" applyFont="1" applyBorder="1" applyAlignment="1">
      <alignment horizontal="left" vertical="center" wrapText="1"/>
    </xf>
    <xf numFmtId="0" fontId="9" fillId="8" borderId="0" xfId="52" applyFont="1" applyFill="1">
      <alignment/>
    </xf>
    <xf numFmtId="0" fontId="9" fillId="8" borderId="34" xfId="52" applyFont="1" applyFill="1" applyBorder="1">
      <alignment/>
    </xf>
    <xf numFmtId="49" fontId="10" fillId="0" borderId="43" xfId="52" applyNumberFormat="1" applyFont="1" applyBorder="1" applyAlignment="1">
      <alignment horizontal="justify" vertical="center" wrapText="1"/>
    </xf>
    <xf numFmtId="10" fontId="9" fillId="32" borderId="46" xfId="52" applyNumberFormat="1" applyFont="1" applyFill="1" applyBorder="1" applyAlignment="1">
      <alignment vertical="center"/>
    </xf>
    <xf numFmtId="10" fontId="9" fillId="0" borderId="46" xfId="52" applyNumberFormat="1" applyFont="1" applyBorder="1" applyAlignment="1">
      <alignment vertical="center"/>
    </xf>
    <xf numFmtId="10" fontId="9" fillId="32" borderId="48" xfId="52" applyNumberFormat="1" applyFont="1" applyFill="1" applyBorder="1" applyAlignment="1">
      <alignment horizontal="center" vertical="center"/>
    </xf>
    <xf numFmtId="10" fontId="9" fillId="0" borderId="48" xfId="52" applyNumberFormat="1" applyFont="1" applyBorder="1" applyAlignment="1">
      <alignment horizontal="center" vertical="center"/>
    </xf>
    <xf numFmtId="10" fontId="9" fillId="32" borderId="49" xfId="52" applyNumberFormat="1" applyFont="1" applyFill="1" applyBorder="1" applyAlignment="1">
      <alignment vertical="center"/>
    </xf>
    <xf numFmtId="10" fontId="9" fillId="0" borderId="49" xfId="52" applyNumberFormat="1" applyFont="1" applyBorder="1" applyAlignment="1">
      <alignment vertical="center"/>
    </xf>
    <xf numFmtId="0" fontId="10" fillId="14" borderId="35" xfId="52" applyFont="1" applyFill="1" applyBorder="1" applyAlignment="1">
      <alignment horizontal="center" vertical="center"/>
    </xf>
    <xf numFmtId="0" fontId="10" fillId="14" borderId="42" xfId="52" applyFont="1" applyFill="1" applyBorder="1" applyAlignment="1">
      <alignment horizontal="center" vertical="center"/>
    </xf>
    <xf numFmtId="0" fontId="10" fillId="14" borderId="35" xfId="52" applyFont="1" applyFill="1" applyBorder="1">
      <alignment/>
    </xf>
    <xf numFmtId="10" fontId="10" fillId="14" borderId="35" xfId="59" applyNumberFormat="1" applyFont="1" applyFill="1" applyBorder="1" applyAlignment="1">
      <alignment horizontal="center"/>
    </xf>
    <xf numFmtId="10" fontId="10" fillId="14" borderId="42" xfId="59" applyNumberFormat="1" applyFont="1" applyFill="1" applyBorder="1" applyAlignment="1">
      <alignment horizontal="center"/>
    </xf>
    <xf numFmtId="0" fontId="10" fillId="34" borderId="0" xfId="52" applyFont="1" applyFill="1">
      <alignment/>
    </xf>
    <xf numFmtId="0" fontId="9" fillId="14" borderId="0" xfId="52" applyFont="1" applyFill="1">
      <alignment/>
    </xf>
    <xf numFmtId="0" fontId="9" fillId="14" borderId="34" xfId="52" applyFont="1" applyFill="1" applyBorder="1">
      <alignment/>
    </xf>
    <xf numFmtId="49" fontId="10" fillId="34" borderId="43" xfId="52" applyNumberFormat="1" applyFont="1" applyFill="1" applyBorder="1" applyAlignment="1">
      <alignment horizontal="justify" vertical="center" wrapText="1"/>
    </xf>
    <xf numFmtId="0" fontId="10" fillId="0" borderId="28" xfId="52" applyFont="1" applyBorder="1" applyAlignment="1">
      <alignment horizontal="center"/>
    </xf>
    <xf numFmtId="0" fontId="10" fillId="0" borderId="0" xfId="52" applyFont="1" applyAlignment="1">
      <alignment horizontal="center"/>
    </xf>
    <xf numFmtId="0" fontId="12" fillId="0" borderId="28" xfId="52" applyFont="1" applyBorder="1" applyAlignment="1">
      <alignment horizontal="center" vertical="center"/>
    </xf>
    <xf numFmtId="0" fontId="10" fillId="0" borderId="50" xfId="52" applyFont="1" applyBorder="1">
      <alignment/>
    </xf>
    <xf numFmtId="0" fontId="10" fillId="0" borderId="22" xfId="52" applyFont="1" applyBorder="1">
      <alignment/>
    </xf>
    <xf numFmtId="0" fontId="10" fillId="0" borderId="39" xfId="52" applyFont="1" applyBorder="1">
      <alignment/>
    </xf>
    <xf numFmtId="171" fontId="71" fillId="0" borderId="18" xfId="51" applyNumberFormat="1" applyFont="1" applyFill="1" applyBorder="1" applyAlignment="1">
      <alignment horizontal="justify" vertical="center" wrapText="1"/>
      <protection/>
    </xf>
    <xf numFmtId="2" fontId="71" fillId="33" borderId="11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72" fillId="0" borderId="11" xfId="51" applyNumberFormat="1" applyFont="1" applyFill="1" applyBorder="1" applyAlignment="1">
      <alignment horizontal="center" vertical="center"/>
      <protection/>
    </xf>
    <xf numFmtId="0" fontId="71" fillId="0" borderId="11" xfId="51" applyNumberFormat="1" applyFont="1" applyFill="1" applyBorder="1" applyAlignment="1">
      <alignment horizontal="center" vertical="center"/>
      <protection/>
    </xf>
    <xf numFmtId="0" fontId="72" fillId="0" borderId="11" xfId="0" applyNumberFormat="1" applyFont="1" applyFill="1" applyBorder="1" applyAlignment="1">
      <alignment horizontal="center" vertical="center"/>
    </xf>
    <xf numFmtId="0" fontId="71" fillId="0" borderId="11" xfId="0" applyNumberFormat="1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justify" vertical="center" wrapText="1"/>
    </xf>
    <xf numFmtId="0" fontId="72" fillId="0" borderId="51" xfId="51" applyNumberFormat="1" applyFont="1" applyFill="1" applyBorder="1" applyAlignment="1">
      <alignment horizontal="justify" vertical="center" wrapText="1"/>
      <protection/>
    </xf>
    <xf numFmtId="171" fontId="72" fillId="0" borderId="51" xfId="51" applyNumberFormat="1" applyFont="1" applyFill="1" applyBorder="1" applyAlignment="1">
      <alignment vertical="center" wrapText="1"/>
      <protection/>
    </xf>
    <xf numFmtId="4" fontId="72" fillId="0" borderId="17" xfId="0" applyNumberFormat="1" applyFont="1" applyFill="1" applyBorder="1" applyAlignment="1">
      <alignment vertical="center"/>
    </xf>
    <xf numFmtId="0" fontId="72" fillId="0" borderId="52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17" fontId="72" fillId="0" borderId="10" xfId="0" applyNumberFormat="1" applyFont="1" applyFill="1" applyBorder="1" applyAlignment="1">
      <alignment horizontal="center" vertical="center"/>
    </xf>
    <xf numFmtId="17" fontId="72" fillId="0" borderId="23" xfId="0" applyNumberFormat="1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/>
    </xf>
    <xf numFmtId="2" fontId="72" fillId="0" borderId="23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0" borderId="23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/>
    </xf>
    <xf numFmtId="4" fontId="72" fillId="0" borderId="23" xfId="0" applyNumberFormat="1" applyFont="1" applyFill="1" applyBorder="1" applyAlignment="1">
      <alignment horizontal="center" vertical="center"/>
    </xf>
    <xf numFmtId="174" fontId="73" fillId="0" borderId="19" xfId="0" applyNumberFormat="1" applyFont="1" applyFill="1" applyBorder="1" applyAlignment="1">
      <alignment horizontal="center" vertical="center"/>
    </xf>
    <xf numFmtId="174" fontId="73" fillId="0" borderId="20" xfId="0" applyNumberFormat="1" applyFont="1" applyFill="1" applyBorder="1" applyAlignment="1">
      <alignment horizontal="center" vertical="center"/>
    </xf>
    <xf numFmtId="174" fontId="73" fillId="0" borderId="21" xfId="0" applyNumberFormat="1" applyFont="1" applyFill="1" applyBorder="1" applyAlignment="1">
      <alignment horizontal="center" vertical="center"/>
    </xf>
    <xf numFmtId="0" fontId="72" fillId="0" borderId="53" xfId="0" applyFont="1" applyFill="1" applyBorder="1" applyAlignment="1">
      <alignment horizontal="left" vertical="top"/>
    </xf>
    <xf numFmtId="0" fontId="72" fillId="0" borderId="0" xfId="0" applyFont="1" applyFill="1" applyBorder="1" applyAlignment="1">
      <alignment horizontal="left" vertical="center" wrapText="1"/>
    </xf>
    <xf numFmtId="0" fontId="77" fillId="0" borderId="54" xfId="0" applyFont="1" applyFill="1" applyBorder="1" applyAlignment="1">
      <alignment horizontal="center" vertical="center" shrinkToFit="1"/>
    </xf>
    <xf numFmtId="0" fontId="77" fillId="0" borderId="55" xfId="0" applyFont="1" applyFill="1" applyBorder="1" applyAlignment="1">
      <alignment horizontal="center" vertical="center" shrinkToFit="1"/>
    </xf>
    <xf numFmtId="0" fontId="77" fillId="0" borderId="56" xfId="0" applyFont="1" applyFill="1" applyBorder="1" applyAlignment="1">
      <alignment horizontal="center" vertical="center" wrapText="1"/>
    </xf>
    <xf numFmtId="0" fontId="77" fillId="0" borderId="57" xfId="0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173" fontId="69" fillId="0" borderId="61" xfId="46" applyFont="1" applyFill="1" applyBorder="1" applyAlignment="1">
      <alignment horizontal="center" vertical="center" wrapText="1"/>
    </xf>
    <xf numFmtId="173" fontId="69" fillId="0" borderId="15" xfId="46" applyFont="1" applyFill="1" applyBorder="1" applyAlignment="1">
      <alignment horizontal="center" vertical="center" wrapText="1"/>
    </xf>
    <xf numFmtId="173" fontId="69" fillId="0" borderId="13" xfId="46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0" fontId="72" fillId="0" borderId="19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2" fontId="78" fillId="0" borderId="0" xfId="52" applyNumberFormat="1" applyFont="1" applyAlignment="1">
      <alignment horizontal="center" vertical="center"/>
    </xf>
    <xf numFmtId="2" fontId="78" fillId="0" borderId="22" xfId="52" applyNumberFormat="1" applyFont="1" applyBorder="1" applyAlignment="1">
      <alignment horizontal="center" vertical="center"/>
    </xf>
    <xf numFmtId="0" fontId="9" fillId="32" borderId="46" xfId="52" applyFont="1" applyFill="1" applyBorder="1" applyAlignment="1">
      <alignment horizontal="center" vertical="center"/>
    </xf>
    <xf numFmtId="0" fontId="9" fillId="32" borderId="48" xfId="52" applyFont="1" applyFill="1" applyBorder="1" applyAlignment="1">
      <alignment horizontal="center" vertical="center"/>
    </xf>
    <xf numFmtId="0" fontId="9" fillId="32" borderId="49" xfId="52" applyFont="1" applyFill="1" applyBorder="1" applyAlignment="1">
      <alignment horizontal="center" vertical="center"/>
    </xf>
    <xf numFmtId="0" fontId="9" fillId="0" borderId="46" xfId="52" applyFont="1" applyBorder="1" applyAlignment="1">
      <alignment horizontal="center" vertical="center"/>
    </xf>
    <xf numFmtId="0" fontId="9" fillId="0" borderId="48" xfId="52" applyFont="1" applyBorder="1" applyAlignment="1">
      <alignment horizontal="center" vertical="center"/>
    </xf>
    <xf numFmtId="0" fontId="9" fillId="0" borderId="49" xfId="52" applyFont="1" applyBorder="1" applyAlignment="1">
      <alignment horizontal="center" vertical="center"/>
    </xf>
    <xf numFmtId="49" fontId="10" fillId="32" borderId="62" xfId="52" applyNumberFormat="1" applyFont="1" applyFill="1" applyBorder="1" applyAlignment="1">
      <alignment horizontal="center" vertical="center"/>
    </xf>
    <xf numFmtId="49" fontId="10" fillId="32" borderId="30" xfId="52" applyNumberFormat="1" applyFont="1" applyFill="1" applyBorder="1" applyAlignment="1">
      <alignment horizontal="center" vertical="center"/>
    </xf>
    <xf numFmtId="49" fontId="9" fillId="32" borderId="28" xfId="52" applyNumberFormat="1" applyFont="1" applyFill="1" applyBorder="1" applyAlignment="1">
      <alignment horizontal="center"/>
    </xf>
    <xf numFmtId="49" fontId="9" fillId="32" borderId="44" xfId="52" applyNumberFormat="1" applyFont="1" applyFill="1" applyBorder="1" applyAlignment="1">
      <alignment horizontal="center"/>
    </xf>
    <xf numFmtId="49" fontId="9" fillId="32" borderId="63" xfId="52" applyNumberFormat="1" applyFont="1" applyFill="1" applyBorder="1" applyAlignment="1">
      <alignment horizontal="center" vertical="top"/>
    </xf>
    <xf numFmtId="49" fontId="9" fillId="32" borderId="32" xfId="52" applyNumberFormat="1" applyFont="1" applyFill="1" applyBorder="1" applyAlignment="1">
      <alignment horizontal="center" vertical="top"/>
    </xf>
    <xf numFmtId="0" fontId="78" fillId="0" borderId="64" xfId="52" applyFont="1" applyBorder="1" applyAlignment="1">
      <alignment horizontal="center" vertical="center"/>
    </xf>
    <xf numFmtId="0" fontId="9" fillId="32" borderId="28" xfId="52" applyFont="1" applyFill="1" applyBorder="1" applyAlignment="1">
      <alignment horizontal="center"/>
    </xf>
    <xf numFmtId="0" fontId="9" fillId="32" borderId="0" xfId="52" applyFont="1" applyFill="1" applyAlignment="1">
      <alignment horizontal="center"/>
    </xf>
    <xf numFmtId="0" fontId="10" fillId="35" borderId="65" xfId="52" applyFont="1" applyFill="1" applyBorder="1" applyAlignment="1">
      <alignment horizontal="center"/>
    </xf>
    <xf numFmtId="0" fontId="9" fillId="32" borderId="47" xfId="52" applyFont="1" applyFill="1" applyBorder="1" applyAlignment="1">
      <alignment horizontal="center" vertical="center"/>
    </xf>
    <xf numFmtId="0" fontId="9" fillId="32" borderId="66" xfId="52" applyFont="1" applyFill="1" applyBorder="1" applyAlignment="1">
      <alignment horizontal="center" vertical="center"/>
    </xf>
    <xf numFmtId="0" fontId="9" fillId="0" borderId="47" xfId="52" applyFont="1" applyBorder="1" applyAlignment="1">
      <alignment horizontal="center" vertical="center"/>
    </xf>
    <xf numFmtId="0" fontId="9" fillId="0" borderId="66" xfId="52" applyFont="1" applyBorder="1" applyAlignment="1">
      <alignment horizontal="center" vertical="center"/>
    </xf>
    <xf numFmtId="0" fontId="8" fillId="36" borderId="25" xfId="52" applyFont="1" applyFill="1" applyBorder="1" applyAlignment="1">
      <alignment horizontal="center" vertical="center"/>
    </xf>
    <xf numFmtId="0" fontId="8" fillId="36" borderId="26" xfId="52" applyFont="1" applyFill="1" applyBorder="1" applyAlignment="1">
      <alignment horizontal="center" vertical="center"/>
    </xf>
    <xf numFmtId="0" fontId="8" fillId="36" borderId="27" xfId="52" applyFont="1" applyFill="1" applyBorder="1" applyAlignment="1">
      <alignment horizontal="center" vertical="center"/>
    </xf>
    <xf numFmtId="49" fontId="79" fillId="0" borderId="28" xfId="52" applyNumberFormat="1" applyFont="1" applyBorder="1" applyAlignment="1">
      <alignment horizontal="center" vertical="center"/>
    </xf>
    <xf numFmtId="0" fontId="79" fillId="0" borderId="0" xfId="52" applyFont="1" applyAlignment="1">
      <alignment horizontal="center" vertical="center"/>
    </xf>
    <xf numFmtId="0" fontId="79" fillId="0" borderId="34" xfId="52" applyFont="1" applyBorder="1" applyAlignment="1">
      <alignment horizontal="center" vertical="center"/>
    </xf>
    <xf numFmtId="0" fontId="80" fillId="37" borderId="25" xfId="51" applyFont="1" applyFill="1" applyBorder="1" applyAlignment="1">
      <alignment horizontal="center" vertical="center"/>
      <protection/>
    </xf>
    <xf numFmtId="0" fontId="80" fillId="37" borderId="26" xfId="51" applyFont="1" applyFill="1" applyBorder="1" applyAlignment="1">
      <alignment horizontal="center" vertical="center"/>
      <protection/>
    </xf>
    <xf numFmtId="0" fontId="80" fillId="37" borderId="27" xfId="51" applyFont="1" applyFill="1" applyBorder="1" applyAlignment="1">
      <alignment horizontal="center" vertical="center"/>
      <protection/>
    </xf>
    <xf numFmtId="0" fontId="80" fillId="37" borderId="50" xfId="51" applyFont="1" applyFill="1" applyBorder="1" applyAlignment="1">
      <alignment horizontal="center" vertical="center"/>
      <protection/>
    </xf>
    <xf numFmtId="0" fontId="80" fillId="37" borderId="22" xfId="51" applyFont="1" applyFill="1" applyBorder="1" applyAlignment="1">
      <alignment horizontal="center" vertical="center"/>
      <protection/>
    </xf>
    <xf numFmtId="0" fontId="80" fillId="37" borderId="39" xfId="51" applyFont="1" applyFill="1" applyBorder="1" applyAlignment="1">
      <alignment horizontal="center" vertic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10_Compo-Civil" xfId="50"/>
    <cellStyle name="Normal 2" xfId="51"/>
    <cellStyle name="Normal 2 2" xfId="52"/>
    <cellStyle name="Normal 3" xfId="53"/>
    <cellStyle name="Normal 3 2" xfId="54"/>
    <cellStyle name="Normal_Orcamento estimativo Construção Centro Cultural Fase Conclus" xfId="55"/>
    <cellStyle name="Nota" xfId="56"/>
    <cellStyle name="Percent" xfId="57"/>
    <cellStyle name="Porcentagem 2" xfId="58"/>
    <cellStyle name="Porcentagem 2 2" xfId="59"/>
    <cellStyle name="Porcentagem 3" xfId="60"/>
    <cellStyle name="Ruim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28575</xdr:rowOff>
    </xdr:from>
    <xdr:to>
      <xdr:col>8</xdr:col>
      <xdr:colOff>981075</xdr:colOff>
      <xdr:row>2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28575"/>
          <a:ext cx="714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80" zoomScaleNormal="80" zoomScaleSheetLayoutView="80" workbookViewId="0" topLeftCell="A1">
      <selection activeCell="F87" sqref="F87"/>
    </sheetView>
  </sheetViews>
  <sheetFormatPr defaultColWidth="9.140625" defaultRowHeight="12.75"/>
  <cols>
    <col min="1" max="1" width="11.00390625" style="2" bestFit="1" customWidth="1"/>
    <col min="2" max="2" width="67.00390625" style="138" customWidth="1"/>
    <col min="3" max="3" width="20.57421875" style="2" customWidth="1"/>
    <col min="4" max="4" width="12.7109375" style="48" bestFit="1" customWidth="1"/>
    <col min="5" max="5" width="14.57421875" style="71" customWidth="1"/>
    <col min="6" max="6" width="18.57421875" style="20" customWidth="1"/>
    <col min="7" max="8" width="22.140625" style="2" customWidth="1"/>
    <col min="9" max="9" width="18.57421875" style="2" customWidth="1"/>
    <col min="10" max="10" width="12.7109375" style="2" hidden="1" customWidth="1"/>
    <col min="11" max="11" width="17.8515625" style="3" hidden="1" customWidth="1"/>
    <col min="12" max="12" width="22.7109375" style="2" customWidth="1"/>
    <col min="13" max="13" width="16.57421875" style="2" bestFit="1" customWidth="1"/>
    <col min="14" max="14" width="11.28125" style="2" bestFit="1" customWidth="1"/>
    <col min="15" max="15" width="12.140625" style="2" bestFit="1" customWidth="1"/>
    <col min="16" max="16" width="17.28125" style="2" bestFit="1" customWidth="1"/>
    <col min="17" max="16384" width="9.140625" style="2" customWidth="1"/>
  </cols>
  <sheetData>
    <row r="1" spans="1:9" ht="37.5" customHeight="1">
      <c r="A1" s="228" t="s">
        <v>16</v>
      </c>
      <c r="B1" s="229"/>
      <c r="C1" s="230" t="s">
        <v>17</v>
      </c>
      <c r="D1" s="231"/>
      <c r="E1" s="231"/>
      <c r="F1" s="231"/>
      <c r="G1" s="231"/>
      <c r="H1" s="232"/>
      <c r="I1" s="1"/>
    </row>
    <row r="2" spans="1:10" ht="27.75" customHeight="1" thickBot="1">
      <c r="A2" s="233" t="s">
        <v>46</v>
      </c>
      <c r="B2" s="234"/>
      <c r="C2" s="4" t="s">
        <v>2</v>
      </c>
      <c r="D2" s="235" t="s">
        <v>122</v>
      </c>
      <c r="E2" s="236"/>
      <c r="F2" s="236"/>
      <c r="G2" s="236"/>
      <c r="H2" s="237"/>
      <c r="I2" s="5"/>
      <c r="J2" s="6"/>
    </row>
    <row r="3" spans="1:10" ht="38.25" customHeight="1" thickBot="1">
      <c r="A3" s="238" t="s">
        <v>12</v>
      </c>
      <c r="B3" s="239"/>
      <c r="C3" s="57" t="s">
        <v>13</v>
      </c>
      <c r="D3" s="235" t="s">
        <v>123</v>
      </c>
      <c r="E3" s="236"/>
      <c r="F3" s="236"/>
      <c r="G3" s="236"/>
      <c r="H3" s="237"/>
      <c r="I3" s="7"/>
      <c r="J3" s="6"/>
    </row>
    <row r="4" spans="1:11" s="11" customFormat="1" ht="24.75" customHeight="1" thickBot="1">
      <c r="A4" s="8"/>
      <c r="B4" s="132"/>
      <c r="C4" s="9"/>
      <c r="D4" s="10"/>
      <c r="E4" s="63" t="s">
        <v>10</v>
      </c>
      <c r="F4" s="64"/>
      <c r="G4" s="210" t="s">
        <v>119</v>
      </c>
      <c r="H4" s="211"/>
      <c r="I4" s="212"/>
      <c r="K4" s="12"/>
    </row>
    <row r="5" spans="1:16" s="11" customFormat="1" ht="31.5" customHeight="1" thickBot="1">
      <c r="A5" s="213" t="s">
        <v>14</v>
      </c>
      <c r="B5" s="213" t="s">
        <v>9</v>
      </c>
      <c r="C5" s="215" t="s">
        <v>3</v>
      </c>
      <c r="D5" s="217" t="s">
        <v>11</v>
      </c>
      <c r="E5" s="219" t="s">
        <v>7</v>
      </c>
      <c r="F5" s="221" t="s">
        <v>8</v>
      </c>
      <c r="G5" s="240" t="s">
        <v>5</v>
      </c>
      <c r="H5" s="241"/>
      <c r="I5" s="242"/>
      <c r="J5" s="13"/>
      <c r="K5" s="12"/>
      <c r="O5" s="71"/>
      <c r="P5" s="76"/>
    </row>
    <row r="6" spans="1:16" s="11" customFormat="1" ht="29.25" customHeight="1" thickBot="1">
      <c r="A6" s="214"/>
      <c r="B6" s="214"/>
      <c r="C6" s="216"/>
      <c r="D6" s="218"/>
      <c r="E6" s="220"/>
      <c r="F6" s="222"/>
      <c r="G6" s="14" t="s">
        <v>4</v>
      </c>
      <c r="H6" s="14" t="s">
        <v>1</v>
      </c>
      <c r="I6" s="15" t="s">
        <v>15</v>
      </c>
      <c r="J6" s="16"/>
      <c r="K6" s="12"/>
      <c r="O6" s="71"/>
      <c r="P6" s="77"/>
    </row>
    <row r="7" spans="1:16" s="11" customFormat="1" ht="47.25" customHeight="1">
      <c r="A7" s="201">
        <v>1</v>
      </c>
      <c r="B7" s="206" t="s">
        <v>207</v>
      </c>
      <c r="C7" s="22"/>
      <c r="D7" s="23"/>
      <c r="E7" s="65"/>
      <c r="F7" s="17"/>
      <c r="G7" s="17"/>
      <c r="H7" s="17"/>
      <c r="I7" s="18"/>
      <c r="J7" s="16"/>
      <c r="K7" s="12"/>
      <c r="O7" s="71"/>
      <c r="P7" s="77"/>
    </row>
    <row r="8" spans="1:16" s="81" customFormat="1" ht="35.25" customHeight="1">
      <c r="A8" s="202" t="s">
        <v>89</v>
      </c>
      <c r="B8" s="207" t="s">
        <v>121</v>
      </c>
      <c r="C8" s="22"/>
      <c r="D8" s="23"/>
      <c r="E8" s="65"/>
      <c r="F8" s="209">
        <f>SUM(F10:F17)</f>
        <v>68337.32</v>
      </c>
      <c r="G8" s="209">
        <f>SUM(G10:G17)</f>
        <v>66970.58</v>
      </c>
      <c r="H8" s="209">
        <f>SUM(H10:H17)</f>
        <v>1366.74</v>
      </c>
      <c r="I8" s="18"/>
      <c r="J8" s="19"/>
      <c r="K8" s="3"/>
      <c r="L8" s="80">
        <f>SUM(F9:F17)</f>
        <v>68337.32</v>
      </c>
      <c r="N8" s="82"/>
      <c r="O8" s="82"/>
      <c r="P8" s="82"/>
    </row>
    <row r="9" spans="1:16" s="81" customFormat="1" ht="14.25">
      <c r="A9" s="202" t="s">
        <v>99</v>
      </c>
      <c r="B9" s="27" t="s">
        <v>47</v>
      </c>
      <c r="C9" s="22"/>
      <c r="D9" s="23"/>
      <c r="E9" s="65"/>
      <c r="F9" s="17"/>
      <c r="G9" s="17"/>
      <c r="H9" s="17"/>
      <c r="I9" s="18"/>
      <c r="J9" s="19"/>
      <c r="K9" s="3"/>
      <c r="L9" s="83"/>
      <c r="N9" s="82"/>
      <c r="O9" s="82"/>
      <c r="P9" s="82"/>
    </row>
    <row r="10" spans="1:16" s="81" customFormat="1" ht="32.25" customHeight="1">
      <c r="A10" s="203" t="s">
        <v>208</v>
      </c>
      <c r="B10" s="26" t="s">
        <v>48</v>
      </c>
      <c r="C10" s="22" t="s">
        <v>19</v>
      </c>
      <c r="D10" s="23">
        <v>2</v>
      </c>
      <c r="E10" s="65">
        <f>ROUND(J10*(1+K10),2)</f>
        <v>4841.76</v>
      </c>
      <c r="F10" s="17">
        <f>ROUND(E10*D10,2)</f>
        <v>9683.52</v>
      </c>
      <c r="G10" s="17">
        <f>ROUND(F10*98%,2)</f>
        <v>9489.85</v>
      </c>
      <c r="H10" s="17">
        <f>F10-G10</f>
        <v>193.67</v>
      </c>
      <c r="I10" s="18"/>
      <c r="J10" s="79">
        <v>4200</v>
      </c>
      <c r="K10" s="84">
        <v>0.1528</v>
      </c>
      <c r="L10" s="83"/>
      <c r="N10" s="82"/>
      <c r="O10" s="82"/>
      <c r="P10" s="82"/>
    </row>
    <row r="11" spans="1:16" s="81" customFormat="1" ht="32.25" customHeight="1">
      <c r="A11" s="203" t="s">
        <v>209</v>
      </c>
      <c r="B11" s="26" t="s">
        <v>49</v>
      </c>
      <c r="C11" s="22" t="s">
        <v>19</v>
      </c>
      <c r="D11" s="23">
        <v>10</v>
      </c>
      <c r="E11" s="65">
        <f>ROUND(J11*(1+K11),2)</f>
        <v>172.92</v>
      </c>
      <c r="F11" s="17">
        <f>ROUND(E11*D11,2)</f>
        <v>1729.2</v>
      </c>
      <c r="G11" s="17">
        <f aca="true" t="shared" si="0" ref="G11:G77">ROUND(F11*98%,2)</f>
        <v>1694.62</v>
      </c>
      <c r="H11" s="17">
        <f>F11-G11</f>
        <v>34.58</v>
      </c>
      <c r="I11" s="18"/>
      <c r="J11" s="79">
        <v>150</v>
      </c>
      <c r="K11" s="84">
        <v>0.1528</v>
      </c>
      <c r="L11" s="83"/>
      <c r="N11" s="82"/>
      <c r="O11" s="82"/>
      <c r="P11" s="82"/>
    </row>
    <row r="12" spans="1:16" s="81" customFormat="1" ht="32.25" customHeight="1">
      <c r="A12" s="203" t="s">
        <v>210</v>
      </c>
      <c r="B12" s="26" t="s">
        <v>50</v>
      </c>
      <c r="C12" s="22" t="s">
        <v>19</v>
      </c>
      <c r="D12" s="23">
        <v>5</v>
      </c>
      <c r="E12" s="65">
        <f>ROUND(J12*(1+K12),2)</f>
        <v>1959.76</v>
      </c>
      <c r="F12" s="17">
        <f>ROUND(E12*D12,2)</f>
        <v>9798.8</v>
      </c>
      <c r="G12" s="17">
        <f t="shared" si="0"/>
        <v>9602.82</v>
      </c>
      <c r="H12" s="17">
        <f>F12-G12</f>
        <v>195.98</v>
      </c>
      <c r="I12" s="18"/>
      <c r="J12" s="79">
        <v>1700</v>
      </c>
      <c r="K12" s="84">
        <v>0.1528</v>
      </c>
      <c r="L12" s="83"/>
      <c r="N12" s="82"/>
      <c r="O12" s="82"/>
      <c r="P12" s="82"/>
    </row>
    <row r="13" spans="1:16" s="81" customFormat="1" ht="28.5" customHeight="1">
      <c r="A13" s="202" t="s">
        <v>100</v>
      </c>
      <c r="B13" s="207" t="s">
        <v>51</v>
      </c>
      <c r="C13" s="22"/>
      <c r="D13" s="23"/>
      <c r="E13" s="65"/>
      <c r="F13" s="17"/>
      <c r="G13" s="17"/>
      <c r="H13" s="17"/>
      <c r="I13" s="18"/>
      <c r="J13" s="78"/>
      <c r="K13" s="84"/>
      <c r="L13" s="83"/>
      <c r="N13" s="82"/>
      <c r="O13" s="82"/>
      <c r="P13" s="82"/>
    </row>
    <row r="14" spans="1:16" s="81" customFormat="1" ht="14.25">
      <c r="A14" s="203" t="s">
        <v>211</v>
      </c>
      <c r="B14" s="26" t="s">
        <v>52</v>
      </c>
      <c r="C14" s="22" t="s">
        <v>26</v>
      </c>
      <c r="D14" s="23">
        <v>60</v>
      </c>
      <c r="E14" s="65">
        <f>ROUND(J14*(1+K14),2)</f>
        <v>232.72</v>
      </c>
      <c r="F14" s="17">
        <f>ROUND(E14*D14,2)</f>
        <v>13963.2</v>
      </c>
      <c r="G14" s="17">
        <f t="shared" si="0"/>
        <v>13683.94</v>
      </c>
      <c r="H14" s="17">
        <f>F14-G14</f>
        <v>279.26</v>
      </c>
      <c r="I14" s="18"/>
      <c r="J14" s="79">
        <v>232.72</v>
      </c>
      <c r="K14" s="84">
        <v>0</v>
      </c>
      <c r="L14" s="83"/>
      <c r="N14" s="82"/>
      <c r="O14" s="82"/>
      <c r="P14" s="82"/>
    </row>
    <row r="15" spans="1:16" s="81" customFormat="1" ht="28.5">
      <c r="A15" s="203" t="s">
        <v>212</v>
      </c>
      <c r="B15" s="26" t="s">
        <v>53</v>
      </c>
      <c r="C15" s="22" t="s">
        <v>26</v>
      </c>
      <c r="D15" s="23">
        <v>120</v>
      </c>
      <c r="E15" s="65">
        <f>ROUND(J15*(1+K15),2)</f>
        <v>145.45</v>
      </c>
      <c r="F15" s="17">
        <f>ROUND(E15*D15,2)</f>
        <v>17454</v>
      </c>
      <c r="G15" s="17">
        <f t="shared" si="0"/>
        <v>17104.92</v>
      </c>
      <c r="H15" s="17">
        <f>F15-G15</f>
        <v>349.08</v>
      </c>
      <c r="I15" s="18"/>
      <c r="J15" s="79">
        <v>145.45</v>
      </c>
      <c r="K15" s="84">
        <v>0</v>
      </c>
      <c r="L15" s="83"/>
      <c r="N15" s="82"/>
      <c r="O15" s="82"/>
      <c r="P15" s="82"/>
    </row>
    <row r="16" spans="1:16" s="86" customFormat="1" ht="14.25">
      <c r="A16" s="203" t="s">
        <v>213</v>
      </c>
      <c r="B16" s="26" t="s">
        <v>54</v>
      </c>
      <c r="C16" s="22" t="s">
        <v>26</v>
      </c>
      <c r="D16" s="23">
        <v>100</v>
      </c>
      <c r="E16" s="65">
        <f>ROUND(J16*(1+K16),2)</f>
        <v>87.27</v>
      </c>
      <c r="F16" s="17">
        <f>ROUND(E16*D16,2)</f>
        <v>8727</v>
      </c>
      <c r="G16" s="17">
        <f t="shared" si="0"/>
        <v>8552.46</v>
      </c>
      <c r="H16" s="17">
        <f>F16-G16</f>
        <v>174.54</v>
      </c>
      <c r="I16" s="18"/>
      <c r="J16" s="79">
        <v>87.27</v>
      </c>
      <c r="K16" s="84">
        <v>0</v>
      </c>
      <c r="L16" s="85"/>
      <c r="N16" s="87"/>
      <c r="O16" s="87"/>
      <c r="P16" s="87"/>
    </row>
    <row r="17" spans="1:16" s="86" customFormat="1" ht="14.25">
      <c r="A17" s="203" t="s">
        <v>214</v>
      </c>
      <c r="B17" s="26" t="s">
        <v>55</v>
      </c>
      <c r="C17" s="22" t="s">
        <v>26</v>
      </c>
      <c r="D17" s="23">
        <v>80</v>
      </c>
      <c r="E17" s="65">
        <f>ROUND(J17*(1+K17),2)</f>
        <v>87.27</v>
      </c>
      <c r="F17" s="17">
        <f>ROUND(E17*D17,2)</f>
        <v>6981.6</v>
      </c>
      <c r="G17" s="17">
        <f t="shared" si="0"/>
        <v>6841.97</v>
      </c>
      <c r="H17" s="17">
        <f>F17-G17</f>
        <v>139.63</v>
      </c>
      <c r="I17" s="18"/>
      <c r="J17" s="79">
        <v>87.27</v>
      </c>
      <c r="K17" s="84">
        <v>0</v>
      </c>
      <c r="L17" s="85"/>
      <c r="N17" s="87"/>
      <c r="O17" s="87"/>
      <c r="P17" s="87"/>
    </row>
    <row r="18" spans="1:16" ht="14.25">
      <c r="A18" s="204" t="s">
        <v>90</v>
      </c>
      <c r="B18" s="208" t="s">
        <v>124</v>
      </c>
      <c r="C18" s="22"/>
      <c r="D18" s="23"/>
      <c r="E18" s="65"/>
      <c r="F18" s="209">
        <f>SUM(F20:F62)</f>
        <v>157933.74</v>
      </c>
      <c r="G18" s="209">
        <f>SUM(G20:G62)</f>
        <v>154775.1</v>
      </c>
      <c r="H18" s="209">
        <f>SUM(H20:H62)</f>
        <v>3158.64</v>
      </c>
      <c r="I18" s="18"/>
      <c r="J18" s="19"/>
      <c r="L18" s="80">
        <f>SUM(F19:F62)</f>
        <v>157933.74</v>
      </c>
      <c r="N18" s="24"/>
      <c r="O18" s="24"/>
      <c r="P18" s="24"/>
    </row>
    <row r="19" spans="1:16" ht="14.25">
      <c r="A19" s="204" t="s">
        <v>101</v>
      </c>
      <c r="B19" s="25" t="s">
        <v>30</v>
      </c>
      <c r="C19" s="22"/>
      <c r="D19" s="23"/>
      <c r="E19" s="65"/>
      <c r="F19" s="17"/>
      <c r="G19" s="17"/>
      <c r="H19" s="17"/>
      <c r="I19" s="18"/>
      <c r="J19" s="19"/>
      <c r="L19" s="20"/>
      <c r="N19" s="24"/>
      <c r="O19" s="24"/>
      <c r="P19" s="24"/>
    </row>
    <row r="20" spans="1:16" ht="14.25">
      <c r="A20" s="205" t="s">
        <v>215</v>
      </c>
      <c r="B20" s="21" t="s">
        <v>58</v>
      </c>
      <c r="C20" s="32" t="s">
        <v>23</v>
      </c>
      <c r="D20" s="23">
        <f>'Mem. Calculo'!C8</f>
        <v>288</v>
      </c>
      <c r="E20" s="65">
        <v>2.74</v>
      </c>
      <c r="F20" s="17">
        <f aca="true" t="shared" si="1" ref="F20:F62">E20*D20</f>
        <v>789.12</v>
      </c>
      <c r="G20" s="17">
        <f t="shared" si="0"/>
        <v>773.34</v>
      </c>
      <c r="H20" s="17">
        <f aca="true" t="shared" si="2" ref="H20:H63">F20-G20</f>
        <v>15.78</v>
      </c>
      <c r="I20" s="18"/>
      <c r="J20" s="19"/>
      <c r="L20" s="20"/>
      <c r="N20" s="24"/>
      <c r="O20" s="24"/>
      <c r="P20" s="24"/>
    </row>
    <row r="21" spans="1:16" ht="20.25" customHeight="1">
      <c r="A21" s="205" t="s">
        <v>216</v>
      </c>
      <c r="B21" s="21" t="s">
        <v>38</v>
      </c>
      <c r="C21" s="32" t="s">
        <v>31</v>
      </c>
      <c r="D21" s="23">
        <v>10</v>
      </c>
      <c r="E21" s="65">
        <v>1050.85</v>
      </c>
      <c r="F21" s="17">
        <f t="shared" si="1"/>
        <v>10508.5</v>
      </c>
      <c r="G21" s="17">
        <f t="shared" si="0"/>
        <v>10298.33</v>
      </c>
      <c r="H21" s="17">
        <f t="shared" si="2"/>
        <v>210.17</v>
      </c>
      <c r="I21" s="18"/>
      <c r="J21" s="19"/>
      <c r="L21" s="20"/>
      <c r="N21" s="24"/>
      <c r="O21" s="24"/>
      <c r="P21" s="24"/>
    </row>
    <row r="22" spans="1:16" ht="14.25">
      <c r="A22" s="205" t="s">
        <v>217</v>
      </c>
      <c r="B22" s="21" t="s">
        <v>44</v>
      </c>
      <c r="C22" s="32" t="s">
        <v>24</v>
      </c>
      <c r="D22" s="23">
        <f>'Mem. Calculo'!C24</f>
        <v>216</v>
      </c>
      <c r="E22" s="65">
        <v>10.62</v>
      </c>
      <c r="F22" s="17">
        <f t="shared" si="1"/>
        <v>2293.92</v>
      </c>
      <c r="G22" s="17">
        <f t="shared" si="0"/>
        <v>2248.04</v>
      </c>
      <c r="H22" s="17">
        <f t="shared" si="2"/>
        <v>45.88</v>
      </c>
      <c r="I22" s="18"/>
      <c r="J22" s="19"/>
      <c r="L22" s="20"/>
      <c r="N22" s="24"/>
      <c r="O22" s="24"/>
      <c r="P22" s="24"/>
    </row>
    <row r="23" spans="1:16" ht="28.5">
      <c r="A23" s="205" t="s">
        <v>218</v>
      </c>
      <c r="B23" s="21" t="s">
        <v>39</v>
      </c>
      <c r="C23" s="32" t="s">
        <v>24</v>
      </c>
      <c r="D23" s="23">
        <f>D22*20%</f>
        <v>43.2</v>
      </c>
      <c r="E23" s="65">
        <v>70.41</v>
      </c>
      <c r="F23" s="17">
        <f t="shared" si="1"/>
        <v>3041.71</v>
      </c>
      <c r="G23" s="17">
        <f t="shared" si="0"/>
        <v>2980.88</v>
      </c>
      <c r="H23" s="17">
        <f t="shared" si="2"/>
        <v>60.83</v>
      </c>
      <c r="I23" s="18"/>
      <c r="J23" s="19"/>
      <c r="L23" s="20"/>
      <c r="N23" s="24"/>
      <c r="O23" s="24"/>
      <c r="P23" s="24"/>
    </row>
    <row r="24" spans="1:16" ht="14.25">
      <c r="A24" s="204" t="s">
        <v>102</v>
      </c>
      <c r="B24" s="25" t="s">
        <v>27</v>
      </c>
      <c r="C24" s="22"/>
      <c r="D24" s="23"/>
      <c r="E24" s="65"/>
      <c r="F24" s="17"/>
      <c r="G24" s="17"/>
      <c r="H24" s="17"/>
      <c r="I24" s="18"/>
      <c r="J24" s="19"/>
      <c r="L24" s="20"/>
      <c r="N24" s="24"/>
      <c r="O24" s="24"/>
      <c r="P24" s="24"/>
    </row>
    <row r="25" spans="1:16" ht="28.5">
      <c r="A25" s="205" t="s">
        <v>219</v>
      </c>
      <c r="B25" s="21" t="s">
        <v>29</v>
      </c>
      <c r="C25" s="22" t="s">
        <v>28</v>
      </c>
      <c r="D25" s="23">
        <v>2</v>
      </c>
      <c r="E25" s="65">
        <f>+ROUND(34.47*1.1528,2)</f>
        <v>39.74</v>
      </c>
      <c r="F25" s="17">
        <f t="shared" si="1"/>
        <v>79.48</v>
      </c>
      <c r="G25" s="17">
        <f t="shared" si="0"/>
        <v>77.89</v>
      </c>
      <c r="H25" s="17">
        <f t="shared" si="2"/>
        <v>1.59</v>
      </c>
      <c r="I25" s="18"/>
      <c r="J25" s="19"/>
      <c r="L25" s="20"/>
      <c r="N25" s="24"/>
      <c r="O25" s="24"/>
      <c r="P25" s="24"/>
    </row>
    <row r="26" spans="1:16" ht="14.25">
      <c r="A26" s="205" t="s">
        <v>221</v>
      </c>
      <c r="B26" s="21" t="s">
        <v>59</v>
      </c>
      <c r="C26" s="22" t="s">
        <v>28</v>
      </c>
      <c r="D26" s="23">
        <v>20</v>
      </c>
      <c r="E26" s="65">
        <v>45.59</v>
      </c>
      <c r="F26" s="17">
        <f t="shared" si="1"/>
        <v>911.8</v>
      </c>
      <c r="G26" s="17">
        <f t="shared" si="0"/>
        <v>893.56</v>
      </c>
      <c r="H26" s="17">
        <f t="shared" si="2"/>
        <v>18.24</v>
      </c>
      <c r="I26" s="18"/>
      <c r="J26" s="19"/>
      <c r="L26" s="20"/>
      <c r="N26" s="24"/>
      <c r="O26" s="24"/>
      <c r="P26" s="24"/>
    </row>
    <row r="27" spans="1:16" ht="14.25">
      <c r="A27" s="205" t="s">
        <v>222</v>
      </c>
      <c r="B27" s="21" t="s">
        <v>129</v>
      </c>
      <c r="C27" s="22" t="s">
        <v>28</v>
      </c>
      <c r="D27" s="23">
        <v>1</v>
      </c>
      <c r="E27" s="65">
        <f>+ROUND(186.17*1.1528,2)</f>
        <v>214.62</v>
      </c>
      <c r="F27" s="17">
        <f t="shared" si="1"/>
        <v>214.62</v>
      </c>
      <c r="G27" s="17">
        <f t="shared" si="0"/>
        <v>210.33</v>
      </c>
      <c r="H27" s="17">
        <f t="shared" si="2"/>
        <v>4.29</v>
      </c>
      <c r="I27" s="18"/>
      <c r="J27" s="19"/>
      <c r="L27" s="20"/>
      <c r="N27" s="24"/>
      <c r="O27" s="24"/>
      <c r="P27" s="24"/>
    </row>
    <row r="28" spans="1:16" ht="28.5">
      <c r="A28" s="205" t="s">
        <v>223</v>
      </c>
      <c r="B28" s="21" t="s">
        <v>84</v>
      </c>
      <c r="C28" s="22" t="s">
        <v>28</v>
      </c>
      <c r="D28" s="23">
        <v>2</v>
      </c>
      <c r="E28" s="65">
        <f>365.47*1.15</f>
        <v>420.29</v>
      </c>
      <c r="F28" s="17">
        <f t="shared" si="1"/>
        <v>840.58</v>
      </c>
      <c r="G28" s="17">
        <f t="shared" si="0"/>
        <v>823.77</v>
      </c>
      <c r="H28" s="17">
        <f t="shared" si="2"/>
        <v>16.81</v>
      </c>
      <c r="I28" s="18"/>
      <c r="J28" s="19"/>
      <c r="L28" s="20"/>
      <c r="N28" s="24"/>
      <c r="O28" s="24"/>
      <c r="P28" s="24"/>
    </row>
    <row r="29" spans="1:16" ht="18.75" customHeight="1">
      <c r="A29" s="205" t="s">
        <v>224</v>
      </c>
      <c r="B29" s="21" t="s">
        <v>85</v>
      </c>
      <c r="C29" s="22" t="s">
        <v>28</v>
      </c>
      <c r="D29" s="23">
        <v>2</v>
      </c>
      <c r="E29" s="65">
        <f>146.83*1.15</f>
        <v>168.85</v>
      </c>
      <c r="F29" s="17">
        <f t="shared" si="1"/>
        <v>337.7</v>
      </c>
      <c r="G29" s="17">
        <f t="shared" si="0"/>
        <v>330.95</v>
      </c>
      <c r="H29" s="17">
        <f t="shared" si="2"/>
        <v>6.75</v>
      </c>
      <c r="I29" s="18"/>
      <c r="J29" s="19"/>
      <c r="L29" s="20"/>
      <c r="N29" s="24"/>
      <c r="O29" s="24"/>
      <c r="P29" s="24"/>
    </row>
    <row r="30" spans="1:16" ht="28.5">
      <c r="A30" s="205" t="s">
        <v>225</v>
      </c>
      <c r="B30" s="21" t="s">
        <v>130</v>
      </c>
      <c r="C30" s="22" t="s">
        <v>28</v>
      </c>
      <c r="D30" s="23">
        <v>1</v>
      </c>
      <c r="E30" s="65">
        <f>519.45*1.15</f>
        <v>597.37</v>
      </c>
      <c r="F30" s="17">
        <f t="shared" si="1"/>
        <v>597.37</v>
      </c>
      <c r="G30" s="17">
        <f t="shared" si="0"/>
        <v>585.42</v>
      </c>
      <c r="H30" s="17">
        <f t="shared" si="2"/>
        <v>11.95</v>
      </c>
      <c r="I30" s="18"/>
      <c r="J30" s="19"/>
      <c r="L30" s="20"/>
      <c r="N30" s="24"/>
      <c r="O30" s="24"/>
      <c r="P30" s="24"/>
    </row>
    <row r="31" spans="1:16" ht="28.5">
      <c r="A31" s="205" t="s">
        <v>226</v>
      </c>
      <c r="B31" s="21" t="s">
        <v>131</v>
      </c>
      <c r="C31" s="22" t="s">
        <v>28</v>
      </c>
      <c r="D31" s="23">
        <v>2</v>
      </c>
      <c r="E31" s="65">
        <v>133.04</v>
      </c>
      <c r="F31" s="17">
        <f t="shared" si="1"/>
        <v>266.08</v>
      </c>
      <c r="G31" s="17">
        <f t="shared" si="0"/>
        <v>260.76</v>
      </c>
      <c r="H31" s="17">
        <f t="shared" si="2"/>
        <v>5.32</v>
      </c>
      <c r="I31" s="18"/>
      <c r="J31" s="19"/>
      <c r="L31" s="20"/>
      <c r="N31" s="24"/>
      <c r="O31" s="24"/>
      <c r="P31" s="24"/>
    </row>
    <row r="32" spans="1:16" ht="28.5">
      <c r="A32" s="205" t="s">
        <v>227</v>
      </c>
      <c r="B32" s="21" t="s">
        <v>132</v>
      </c>
      <c r="C32" s="22" t="s">
        <v>28</v>
      </c>
      <c r="D32" s="23">
        <v>4</v>
      </c>
      <c r="E32" s="65">
        <f>153.78*1.1528</f>
        <v>177.28</v>
      </c>
      <c r="F32" s="17">
        <f t="shared" si="1"/>
        <v>709.12</v>
      </c>
      <c r="G32" s="17">
        <f t="shared" si="0"/>
        <v>694.94</v>
      </c>
      <c r="H32" s="17">
        <f t="shared" si="2"/>
        <v>14.18</v>
      </c>
      <c r="I32" s="18"/>
      <c r="J32" s="19"/>
      <c r="L32" s="20"/>
      <c r="N32" s="24"/>
      <c r="O32" s="24"/>
      <c r="P32" s="24"/>
    </row>
    <row r="33" spans="1:16" ht="28.5">
      <c r="A33" s="205" t="s">
        <v>228</v>
      </c>
      <c r="B33" s="21" t="s">
        <v>133</v>
      </c>
      <c r="C33" s="22" t="s">
        <v>28</v>
      </c>
      <c r="D33" s="23">
        <v>1</v>
      </c>
      <c r="E33" s="65">
        <v>127.25</v>
      </c>
      <c r="F33" s="17">
        <f aca="true" t="shared" si="3" ref="F33:F38">E33*D33</f>
        <v>127.25</v>
      </c>
      <c r="G33" s="17">
        <f t="shared" si="0"/>
        <v>124.71</v>
      </c>
      <c r="H33" s="17">
        <f aca="true" t="shared" si="4" ref="H33:H38">F33-G33</f>
        <v>2.54</v>
      </c>
      <c r="I33" s="18"/>
      <c r="J33" s="19"/>
      <c r="L33" s="20"/>
      <c r="N33" s="24"/>
      <c r="O33" s="24"/>
      <c r="P33" s="24"/>
    </row>
    <row r="34" spans="1:16" ht="14.25">
      <c r="A34" s="205" t="s">
        <v>229</v>
      </c>
      <c r="B34" s="21" t="s">
        <v>134</v>
      </c>
      <c r="C34" s="22" t="s">
        <v>28</v>
      </c>
      <c r="D34" s="23">
        <v>2</v>
      </c>
      <c r="E34" s="65">
        <v>283.5</v>
      </c>
      <c r="F34" s="17">
        <f t="shared" si="3"/>
        <v>567</v>
      </c>
      <c r="G34" s="17">
        <f t="shared" si="0"/>
        <v>555.66</v>
      </c>
      <c r="H34" s="17">
        <f t="shared" si="4"/>
        <v>11.34</v>
      </c>
      <c r="I34" s="18"/>
      <c r="J34" s="19"/>
      <c r="L34" s="20"/>
      <c r="N34" s="24"/>
      <c r="O34" s="24"/>
      <c r="P34" s="24"/>
    </row>
    <row r="35" spans="1:16" ht="28.5">
      <c r="A35" s="205" t="s">
        <v>230</v>
      </c>
      <c r="B35" s="21" t="s">
        <v>135</v>
      </c>
      <c r="C35" s="22" t="s">
        <v>28</v>
      </c>
      <c r="D35" s="23">
        <v>3</v>
      </c>
      <c r="E35" s="65">
        <f>519.49*1.15</f>
        <v>597.41</v>
      </c>
      <c r="F35" s="17">
        <f t="shared" si="3"/>
        <v>1792.23</v>
      </c>
      <c r="G35" s="17">
        <f t="shared" si="0"/>
        <v>1756.39</v>
      </c>
      <c r="H35" s="17">
        <f t="shared" si="4"/>
        <v>35.84</v>
      </c>
      <c r="I35" s="18"/>
      <c r="J35" s="19"/>
      <c r="L35" s="20"/>
      <c r="N35" s="24"/>
      <c r="O35" s="24"/>
      <c r="P35" s="24"/>
    </row>
    <row r="36" spans="1:16" ht="28.5">
      <c r="A36" s="205" t="s">
        <v>231</v>
      </c>
      <c r="B36" s="21" t="s">
        <v>136</v>
      </c>
      <c r="C36" s="22" t="s">
        <v>28</v>
      </c>
      <c r="D36" s="23">
        <v>3</v>
      </c>
      <c r="E36" s="65">
        <f>770.5*1.1528</f>
        <v>888.23</v>
      </c>
      <c r="F36" s="17">
        <f t="shared" si="3"/>
        <v>2664.69</v>
      </c>
      <c r="G36" s="17">
        <f t="shared" si="0"/>
        <v>2611.4</v>
      </c>
      <c r="H36" s="17">
        <f t="shared" si="4"/>
        <v>53.29</v>
      </c>
      <c r="I36" s="18"/>
      <c r="J36" s="19"/>
      <c r="L36" s="20"/>
      <c r="N36" s="24"/>
      <c r="O36" s="24"/>
      <c r="P36" s="24"/>
    </row>
    <row r="37" spans="1:16" ht="42.75">
      <c r="A37" s="205" t="s">
        <v>232</v>
      </c>
      <c r="B37" s="21" t="s">
        <v>126</v>
      </c>
      <c r="C37" s="22" t="s">
        <v>28</v>
      </c>
      <c r="D37" s="23">
        <v>1</v>
      </c>
      <c r="E37" s="65">
        <f>+ROUND(6100*1.1528,2)</f>
        <v>7032.08</v>
      </c>
      <c r="F37" s="17">
        <f t="shared" si="3"/>
        <v>7032.08</v>
      </c>
      <c r="G37" s="17">
        <f t="shared" si="0"/>
        <v>6891.44</v>
      </c>
      <c r="H37" s="17">
        <f t="shared" si="4"/>
        <v>140.64</v>
      </c>
      <c r="I37" s="18"/>
      <c r="J37" s="19"/>
      <c r="L37" s="20"/>
      <c r="N37" s="24"/>
      <c r="O37" s="24"/>
      <c r="P37" s="24"/>
    </row>
    <row r="38" spans="1:16" ht="28.5">
      <c r="A38" s="205" t="s">
        <v>233</v>
      </c>
      <c r="B38" s="21" t="s">
        <v>137</v>
      </c>
      <c r="C38" s="22" t="s">
        <v>28</v>
      </c>
      <c r="D38" s="23">
        <v>2</v>
      </c>
      <c r="E38" s="65">
        <f>213.03*1.1528</f>
        <v>245.58</v>
      </c>
      <c r="F38" s="17">
        <f t="shared" si="3"/>
        <v>491.16</v>
      </c>
      <c r="G38" s="17">
        <f t="shared" si="0"/>
        <v>481.34</v>
      </c>
      <c r="H38" s="17">
        <f t="shared" si="4"/>
        <v>9.82</v>
      </c>
      <c r="I38" s="18"/>
      <c r="J38" s="19"/>
      <c r="L38" s="20"/>
      <c r="N38" s="24"/>
      <c r="O38" s="24"/>
      <c r="P38" s="24"/>
    </row>
    <row r="39" spans="1:16" ht="28.5">
      <c r="A39" s="205" t="s">
        <v>234</v>
      </c>
      <c r="B39" s="21" t="s">
        <v>138</v>
      </c>
      <c r="C39" s="22" t="s">
        <v>28</v>
      </c>
      <c r="D39" s="23">
        <v>2</v>
      </c>
      <c r="E39" s="65">
        <f>263.16*1.1528</f>
        <v>303.37</v>
      </c>
      <c r="F39" s="17">
        <f aca="true" t="shared" si="5" ref="F39:F44">E39*D39</f>
        <v>606.74</v>
      </c>
      <c r="G39" s="17">
        <f t="shared" si="0"/>
        <v>594.61</v>
      </c>
      <c r="H39" s="17">
        <f aca="true" t="shared" si="6" ref="H39:H44">F39-G39</f>
        <v>12.13</v>
      </c>
      <c r="I39" s="18"/>
      <c r="J39" s="19"/>
      <c r="L39" s="20"/>
      <c r="N39" s="24"/>
      <c r="O39" s="24"/>
      <c r="P39" s="24"/>
    </row>
    <row r="40" spans="1:16" ht="28.5">
      <c r="A40" s="205" t="s">
        <v>235</v>
      </c>
      <c r="B40" s="21" t="s">
        <v>139</v>
      </c>
      <c r="C40" s="22" t="s">
        <v>28</v>
      </c>
      <c r="D40" s="23">
        <v>2</v>
      </c>
      <c r="E40" s="65">
        <f>232.16*1.1528</f>
        <v>267.63</v>
      </c>
      <c r="F40" s="17">
        <f t="shared" si="5"/>
        <v>535.26</v>
      </c>
      <c r="G40" s="17">
        <f t="shared" si="0"/>
        <v>524.55</v>
      </c>
      <c r="H40" s="17">
        <f t="shared" si="6"/>
        <v>10.71</v>
      </c>
      <c r="I40" s="18"/>
      <c r="J40" s="19"/>
      <c r="L40" s="20"/>
      <c r="N40" s="24"/>
      <c r="O40" s="24"/>
      <c r="P40" s="24"/>
    </row>
    <row r="41" spans="1:16" ht="28.5">
      <c r="A41" s="205" t="s">
        <v>236</v>
      </c>
      <c r="B41" s="21" t="s">
        <v>140</v>
      </c>
      <c r="C41" s="22" t="s">
        <v>28</v>
      </c>
      <c r="D41" s="23">
        <v>1</v>
      </c>
      <c r="E41" s="65">
        <f>1326.48*1.1528</f>
        <v>1529.17</v>
      </c>
      <c r="F41" s="17">
        <f t="shared" si="5"/>
        <v>1529.17</v>
      </c>
      <c r="G41" s="17">
        <f t="shared" si="0"/>
        <v>1498.59</v>
      </c>
      <c r="H41" s="17">
        <f t="shared" si="6"/>
        <v>30.58</v>
      </c>
      <c r="I41" s="18"/>
      <c r="J41" s="19"/>
      <c r="L41" s="20"/>
      <c r="N41" s="24"/>
      <c r="O41" s="24"/>
      <c r="P41" s="24"/>
    </row>
    <row r="42" spans="1:16" ht="28.5">
      <c r="A42" s="205" t="s">
        <v>237</v>
      </c>
      <c r="B42" s="21" t="s">
        <v>141</v>
      </c>
      <c r="C42" s="22" t="s">
        <v>28</v>
      </c>
      <c r="D42" s="23">
        <v>2</v>
      </c>
      <c r="E42" s="65">
        <f>360*1.1528</f>
        <v>415.01</v>
      </c>
      <c r="F42" s="17">
        <f t="shared" si="5"/>
        <v>830.02</v>
      </c>
      <c r="G42" s="17">
        <f t="shared" si="0"/>
        <v>813.42</v>
      </c>
      <c r="H42" s="17">
        <f t="shared" si="6"/>
        <v>16.6</v>
      </c>
      <c r="I42" s="18"/>
      <c r="J42" s="19"/>
      <c r="L42" s="20"/>
      <c r="N42" s="24"/>
      <c r="O42" s="24"/>
      <c r="P42" s="24"/>
    </row>
    <row r="43" spans="1:16" ht="28.5">
      <c r="A43" s="205" t="s">
        <v>238</v>
      </c>
      <c r="B43" s="21" t="s">
        <v>142</v>
      </c>
      <c r="C43" s="22" t="s">
        <v>28</v>
      </c>
      <c r="D43" s="23">
        <v>3</v>
      </c>
      <c r="E43" s="65">
        <f>55*1.1528</f>
        <v>63.4</v>
      </c>
      <c r="F43" s="17">
        <f t="shared" si="5"/>
        <v>190.2</v>
      </c>
      <c r="G43" s="17">
        <f t="shared" si="0"/>
        <v>186.4</v>
      </c>
      <c r="H43" s="17">
        <f t="shared" si="6"/>
        <v>3.8</v>
      </c>
      <c r="I43" s="18"/>
      <c r="J43" s="19"/>
      <c r="L43" s="20"/>
      <c r="N43" s="24"/>
      <c r="O43" s="24"/>
      <c r="P43" s="24"/>
    </row>
    <row r="44" spans="1:16" ht="14.25">
      <c r="A44" s="205" t="s">
        <v>239</v>
      </c>
      <c r="B44" s="21" t="s">
        <v>127</v>
      </c>
      <c r="C44" s="22" t="s">
        <v>28</v>
      </c>
      <c r="D44" s="23">
        <v>1</v>
      </c>
      <c r="E44" s="65">
        <f>(729)*1.1528</f>
        <v>840.39</v>
      </c>
      <c r="F44" s="17">
        <f t="shared" si="5"/>
        <v>840.39</v>
      </c>
      <c r="G44" s="17">
        <f t="shared" si="0"/>
        <v>823.58</v>
      </c>
      <c r="H44" s="17">
        <f t="shared" si="6"/>
        <v>16.81</v>
      </c>
      <c r="I44" s="18"/>
      <c r="J44" s="19"/>
      <c r="L44" s="20"/>
      <c r="N44" s="24"/>
      <c r="O44" s="24"/>
      <c r="P44" s="24"/>
    </row>
    <row r="45" spans="1:16" ht="28.5" customHeight="1">
      <c r="A45" s="204" t="s">
        <v>91</v>
      </c>
      <c r="B45" s="208" t="s">
        <v>32</v>
      </c>
      <c r="C45" s="22"/>
      <c r="D45" s="23"/>
      <c r="E45" s="65"/>
      <c r="F45" s="17"/>
      <c r="G45" s="17"/>
      <c r="H45" s="17"/>
      <c r="I45" s="18"/>
      <c r="J45" s="19"/>
      <c r="L45" s="20"/>
      <c r="N45" s="24"/>
      <c r="O45" s="24"/>
      <c r="P45" s="24"/>
    </row>
    <row r="46" spans="1:16" ht="28.5">
      <c r="A46" s="205" t="s">
        <v>103</v>
      </c>
      <c r="B46" s="33" t="s">
        <v>40</v>
      </c>
      <c r="C46" s="22" t="s">
        <v>23</v>
      </c>
      <c r="D46" s="23">
        <f>'Mem. Calculo'!C11</f>
        <v>288</v>
      </c>
      <c r="E46" s="65">
        <v>6.58</v>
      </c>
      <c r="F46" s="17">
        <f t="shared" si="1"/>
        <v>1895.04</v>
      </c>
      <c r="G46" s="17">
        <f t="shared" si="0"/>
        <v>1857.14</v>
      </c>
      <c r="H46" s="17">
        <f t="shared" si="2"/>
        <v>37.9</v>
      </c>
      <c r="I46" s="18"/>
      <c r="J46" s="19"/>
      <c r="L46" s="20"/>
      <c r="N46" s="24"/>
      <c r="O46" s="24"/>
      <c r="P46" s="24"/>
    </row>
    <row r="47" spans="1:16" ht="42.75">
      <c r="A47" s="205" t="s">
        <v>104</v>
      </c>
      <c r="B47" s="34" t="s">
        <v>60</v>
      </c>
      <c r="C47" s="22" t="s">
        <v>24</v>
      </c>
      <c r="D47" s="23">
        <f>'Mem. Calculo'!C12</f>
        <v>216</v>
      </c>
      <c r="E47" s="65">
        <v>18.83</v>
      </c>
      <c r="F47" s="17">
        <f t="shared" si="1"/>
        <v>4067.28</v>
      </c>
      <c r="G47" s="17">
        <f t="shared" si="0"/>
        <v>3985.93</v>
      </c>
      <c r="H47" s="17">
        <f t="shared" si="2"/>
        <v>81.35</v>
      </c>
      <c r="I47" s="18"/>
      <c r="J47" s="19"/>
      <c r="L47" s="20"/>
      <c r="N47" s="24"/>
      <c r="O47" s="24"/>
      <c r="P47" s="24"/>
    </row>
    <row r="48" spans="1:16" s="86" customFormat="1" ht="42.75">
      <c r="A48" s="205" t="s">
        <v>105</v>
      </c>
      <c r="B48" s="34" t="s">
        <v>56</v>
      </c>
      <c r="C48" s="22" t="s">
        <v>57</v>
      </c>
      <c r="D48" s="23">
        <f>8*20</f>
        <v>160</v>
      </c>
      <c r="E48" s="65">
        <f>ROUND(J48*(1+K48),2)</f>
        <v>122.6</v>
      </c>
      <c r="F48" s="17">
        <f>ROUND(E48*D48,2)</f>
        <v>19616</v>
      </c>
      <c r="G48" s="17">
        <f t="shared" si="0"/>
        <v>19223.68</v>
      </c>
      <c r="H48" s="17">
        <f t="shared" si="2"/>
        <v>392.32</v>
      </c>
      <c r="I48" s="79"/>
      <c r="J48" s="79">
        <v>96.16</v>
      </c>
      <c r="K48" s="84">
        <v>0.275</v>
      </c>
      <c r="N48" s="87"/>
      <c r="O48" s="87"/>
      <c r="P48" s="87"/>
    </row>
    <row r="49" spans="1:16" ht="42.75">
      <c r="A49" s="205" t="s">
        <v>106</v>
      </c>
      <c r="B49" s="34" t="s">
        <v>41</v>
      </c>
      <c r="C49" s="22" t="s">
        <v>25</v>
      </c>
      <c r="D49" s="23">
        <f>'Mem. Calculo'!C13</f>
        <v>32.4</v>
      </c>
      <c r="E49" s="65">
        <v>111.04</v>
      </c>
      <c r="F49" s="17">
        <f t="shared" si="1"/>
        <v>3597.7</v>
      </c>
      <c r="G49" s="17">
        <f t="shared" si="0"/>
        <v>3525.75</v>
      </c>
      <c r="H49" s="17">
        <f t="shared" si="2"/>
        <v>71.95</v>
      </c>
      <c r="I49" s="18"/>
      <c r="J49" s="19"/>
      <c r="L49" s="20"/>
      <c r="N49" s="24"/>
      <c r="O49" s="24"/>
      <c r="P49" s="24"/>
    </row>
    <row r="50" spans="1:16" ht="42.75">
      <c r="A50" s="205" t="s">
        <v>107</v>
      </c>
      <c r="B50" s="34" t="s">
        <v>43</v>
      </c>
      <c r="C50" s="22" t="s">
        <v>24</v>
      </c>
      <c r="D50" s="23">
        <f>'Mem. Calculo'!C15</f>
        <v>216</v>
      </c>
      <c r="E50" s="65">
        <f>+ROUND(5.93*1.2758,2)</f>
        <v>7.57</v>
      </c>
      <c r="F50" s="17">
        <f t="shared" si="1"/>
        <v>1635.12</v>
      </c>
      <c r="G50" s="17">
        <f t="shared" si="0"/>
        <v>1602.42</v>
      </c>
      <c r="H50" s="17">
        <f t="shared" si="2"/>
        <v>32.7</v>
      </c>
      <c r="I50" s="18"/>
      <c r="J50" s="19"/>
      <c r="L50" s="20"/>
      <c r="N50" s="24"/>
      <c r="O50" s="24"/>
      <c r="P50" s="24"/>
    </row>
    <row r="51" spans="1:16" ht="42.75">
      <c r="A51" s="205" t="s">
        <v>108</v>
      </c>
      <c r="B51" s="34" t="s">
        <v>42</v>
      </c>
      <c r="C51" s="22" t="s">
        <v>25</v>
      </c>
      <c r="D51" s="23">
        <f>'Mem. Calculo'!C16</f>
        <v>226.8</v>
      </c>
      <c r="E51" s="65">
        <v>9.06</v>
      </c>
      <c r="F51" s="17">
        <f t="shared" si="1"/>
        <v>2054.81</v>
      </c>
      <c r="G51" s="17">
        <f t="shared" si="0"/>
        <v>2013.71</v>
      </c>
      <c r="H51" s="17">
        <f t="shared" si="2"/>
        <v>41.1</v>
      </c>
      <c r="I51" s="18"/>
      <c r="J51" s="19"/>
      <c r="L51" s="20"/>
      <c r="N51" s="24"/>
      <c r="O51" s="24"/>
      <c r="P51" s="24"/>
    </row>
    <row r="52" spans="1:16" ht="28.5">
      <c r="A52" s="205" t="s">
        <v>109</v>
      </c>
      <c r="B52" s="34" t="s">
        <v>45</v>
      </c>
      <c r="C52" s="22" t="s">
        <v>24</v>
      </c>
      <c r="D52" s="23">
        <f>'Mem. Calculo'!C18</f>
        <v>216</v>
      </c>
      <c r="E52" s="65">
        <f>+ROUND(1.85*1.2758,2)</f>
        <v>2.36</v>
      </c>
      <c r="F52" s="17">
        <f t="shared" si="1"/>
        <v>509.76</v>
      </c>
      <c r="G52" s="17">
        <f t="shared" si="0"/>
        <v>499.56</v>
      </c>
      <c r="H52" s="17">
        <f t="shared" si="2"/>
        <v>10.2</v>
      </c>
      <c r="I52" s="18"/>
      <c r="J52" s="19"/>
      <c r="L52" s="20"/>
      <c r="N52" s="24"/>
      <c r="O52" s="24"/>
      <c r="P52" s="24"/>
    </row>
    <row r="53" spans="1:16" ht="28.5">
      <c r="A53" s="205" t="s">
        <v>110</v>
      </c>
      <c r="B53" s="34" t="s">
        <v>120</v>
      </c>
      <c r="C53" s="22" t="s">
        <v>25</v>
      </c>
      <c r="D53" s="23">
        <f>'Mem. Calculo'!C17</f>
        <v>21.6</v>
      </c>
      <c r="E53" s="65">
        <v>135.1</v>
      </c>
      <c r="F53" s="17">
        <f t="shared" si="1"/>
        <v>2918.16</v>
      </c>
      <c r="G53" s="17">
        <f t="shared" si="0"/>
        <v>2859.8</v>
      </c>
      <c r="H53" s="17">
        <f t="shared" si="2"/>
        <v>58.36</v>
      </c>
      <c r="I53" s="18"/>
      <c r="J53" s="19"/>
      <c r="L53" s="20"/>
      <c r="N53" s="24"/>
      <c r="O53" s="24"/>
      <c r="P53" s="24"/>
    </row>
    <row r="54" spans="1:16" ht="28.5">
      <c r="A54" s="205" t="s">
        <v>111</v>
      </c>
      <c r="B54" s="34" t="s">
        <v>61</v>
      </c>
      <c r="C54" s="22" t="s">
        <v>24</v>
      </c>
      <c r="D54" s="23">
        <f>'Mem. Calculo'!C18</f>
        <v>216</v>
      </c>
      <c r="E54" s="65">
        <f>+ROUND(11.86*1.2758,2)</f>
        <v>15.13</v>
      </c>
      <c r="F54" s="17">
        <f t="shared" si="1"/>
        <v>3268.08</v>
      </c>
      <c r="G54" s="17">
        <f t="shared" si="0"/>
        <v>3202.72</v>
      </c>
      <c r="H54" s="17">
        <f t="shared" si="2"/>
        <v>65.36</v>
      </c>
      <c r="I54" s="18"/>
      <c r="J54" s="19"/>
      <c r="L54" s="20"/>
      <c r="N54" s="24"/>
      <c r="O54" s="24"/>
      <c r="P54" s="24"/>
    </row>
    <row r="55" spans="1:16" ht="14.25">
      <c r="A55" s="205" t="s">
        <v>112</v>
      </c>
      <c r="B55" s="34" t="s">
        <v>62</v>
      </c>
      <c r="C55" s="22" t="s">
        <v>24</v>
      </c>
      <c r="D55" s="23">
        <f>D54</f>
        <v>216</v>
      </c>
      <c r="E55" s="65">
        <v>11.01</v>
      </c>
      <c r="F55" s="17">
        <f t="shared" si="1"/>
        <v>2378.16</v>
      </c>
      <c r="G55" s="17">
        <f t="shared" si="0"/>
        <v>2330.6</v>
      </c>
      <c r="H55" s="17">
        <f t="shared" si="2"/>
        <v>47.56</v>
      </c>
      <c r="I55" s="18"/>
      <c r="J55" s="19"/>
      <c r="L55" s="20"/>
      <c r="N55" s="24"/>
      <c r="O55" s="24"/>
      <c r="P55" s="24"/>
    </row>
    <row r="56" spans="1:16" ht="14.25">
      <c r="A56" s="205" t="s">
        <v>113</v>
      </c>
      <c r="B56" s="34" t="s">
        <v>63</v>
      </c>
      <c r="C56" s="22" t="s">
        <v>25</v>
      </c>
      <c r="D56" s="23">
        <f>'Mem. Calculo'!C20</f>
        <v>10.8</v>
      </c>
      <c r="E56" s="65">
        <f>+ROUND(874*1.2758,2)</f>
        <v>1115.05</v>
      </c>
      <c r="F56" s="17">
        <f t="shared" si="1"/>
        <v>12042.54</v>
      </c>
      <c r="G56" s="17">
        <f t="shared" si="0"/>
        <v>11801.69</v>
      </c>
      <c r="H56" s="17">
        <f t="shared" si="2"/>
        <v>240.85</v>
      </c>
      <c r="I56" s="18"/>
      <c r="J56" s="19"/>
      <c r="L56" s="20"/>
      <c r="N56" s="24"/>
      <c r="O56" s="24"/>
      <c r="P56" s="24"/>
    </row>
    <row r="57" spans="1:16" ht="14.25">
      <c r="A57" s="205" t="s">
        <v>114</v>
      </c>
      <c r="B57" s="34" t="s">
        <v>64</v>
      </c>
      <c r="C57" s="22" t="s">
        <v>25</v>
      </c>
      <c r="D57" s="23">
        <f>'Mem. Calculo'!C21</f>
        <v>10.8</v>
      </c>
      <c r="E57" s="65">
        <f>+ROUND(924.38*1.2758,2)</f>
        <v>1179.32</v>
      </c>
      <c r="F57" s="17">
        <f t="shared" si="1"/>
        <v>12736.66</v>
      </c>
      <c r="G57" s="17">
        <f t="shared" si="0"/>
        <v>12481.93</v>
      </c>
      <c r="H57" s="17">
        <f t="shared" si="2"/>
        <v>254.73</v>
      </c>
      <c r="I57" s="18"/>
      <c r="J57" s="19"/>
      <c r="L57" s="20"/>
      <c r="N57" s="24"/>
      <c r="O57" s="24"/>
      <c r="P57" s="24"/>
    </row>
    <row r="58" spans="1:16" ht="14.25">
      <c r="A58" s="204" t="s">
        <v>92</v>
      </c>
      <c r="B58" s="25" t="s">
        <v>33</v>
      </c>
      <c r="C58" s="32"/>
      <c r="D58" s="23"/>
      <c r="E58" s="65"/>
      <c r="F58" s="17"/>
      <c r="G58" s="17"/>
      <c r="H58" s="17"/>
      <c r="I58" s="18"/>
      <c r="J58" s="19"/>
      <c r="L58" s="20"/>
      <c r="N58" s="24"/>
      <c r="O58" s="24"/>
      <c r="P58" s="24"/>
    </row>
    <row r="59" spans="1:16" s="30" customFormat="1" ht="31.5" customHeight="1">
      <c r="A59" s="205" t="s">
        <v>115</v>
      </c>
      <c r="B59" s="34" t="s">
        <v>37</v>
      </c>
      <c r="C59" s="22" t="s">
        <v>34</v>
      </c>
      <c r="D59" s="23">
        <f>8*24</f>
        <v>192</v>
      </c>
      <c r="E59" s="65">
        <v>10.9</v>
      </c>
      <c r="F59" s="17">
        <f t="shared" si="1"/>
        <v>2092.8</v>
      </c>
      <c r="G59" s="17">
        <f t="shared" si="0"/>
        <v>2050.94</v>
      </c>
      <c r="H59" s="17">
        <f t="shared" si="2"/>
        <v>41.86</v>
      </c>
      <c r="I59" s="18"/>
      <c r="J59" s="19"/>
      <c r="K59" s="28"/>
      <c r="L59" s="29"/>
      <c r="N59" s="31"/>
      <c r="O59" s="31"/>
      <c r="P59" s="31"/>
    </row>
    <row r="60" spans="1:16" s="30" customFormat="1" ht="31.5" customHeight="1">
      <c r="A60" s="205" t="s">
        <v>116</v>
      </c>
      <c r="B60" s="34" t="s">
        <v>36</v>
      </c>
      <c r="C60" s="22" t="s">
        <v>34</v>
      </c>
      <c r="D60" s="23">
        <f>8*24</f>
        <v>192</v>
      </c>
      <c r="E60" s="65">
        <v>34.6</v>
      </c>
      <c r="F60" s="17">
        <f t="shared" si="1"/>
        <v>6643.2</v>
      </c>
      <c r="G60" s="17">
        <f t="shared" si="0"/>
        <v>6510.34</v>
      </c>
      <c r="H60" s="17">
        <f t="shared" si="2"/>
        <v>132.86</v>
      </c>
      <c r="I60" s="18"/>
      <c r="J60" s="19"/>
      <c r="K60" s="28"/>
      <c r="L60" s="29"/>
      <c r="N60" s="31"/>
      <c r="O60" s="31"/>
      <c r="P60" s="31"/>
    </row>
    <row r="61" spans="1:16" s="30" customFormat="1" ht="22.5" customHeight="1">
      <c r="A61" s="205" t="s">
        <v>117</v>
      </c>
      <c r="B61" s="34" t="s">
        <v>35</v>
      </c>
      <c r="C61" s="22" t="s">
        <v>34</v>
      </c>
      <c r="D61" s="23">
        <f>8*24</f>
        <v>192</v>
      </c>
      <c r="E61" s="65">
        <v>87.27</v>
      </c>
      <c r="F61" s="17">
        <f t="shared" si="1"/>
        <v>16755.84</v>
      </c>
      <c r="G61" s="17">
        <f t="shared" si="0"/>
        <v>16420.72</v>
      </c>
      <c r="H61" s="17">
        <f t="shared" si="2"/>
        <v>335.12</v>
      </c>
      <c r="I61" s="18"/>
      <c r="J61" s="19"/>
      <c r="K61" s="28"/>
      <c r="L61" s="29"/>
      <c r="N61" s="31"/>
      <c r="O61" s="31"/>
      <c r="P61" s="31"/>
    </row>
    <row r="62" spans="1:16" ht="29.25" customHeight="1">
      <c r="A62" s="205" t="s">
        <v>118</v>
      </c>
      <c r="B62" s="26" t="s">
        <v>20</v>
      </c>
      <c r="C62" s="22" t="s">
        <v>34</v>
      </c>
      <c r="D62" s="23">
        <f>8*24</f>
        <v>192</v>
      </c>
      <c r="E62" s="65">
        <v>145.45</v>
      </c>
      <c r="F62" s="17">
        <f t="shared" si="1"/>
        <v>27926.4</v>
      </c>
      <c r="G62" s="17">
        <f t="shared" si="0"/>
        <v>27367.87</v>
      </c>
      <c r="H62" s="17">
        <f t="shared" si="2"/>
        <v>558.53</v>
      </c>
      <c r="I62" s="18"/>
      <c r="J62" s="19"/>
      <c r="L62" s="20"/>
      <c r="N62" s="24"/>
      <c r="O62" s="24"/>
      <c r="P62" s="24"/>
    </row>
    <row r="63" spans="1:16" s="30" customFormat="1" ht="63.75" customHeight="1">
      <c r="A63" s="204">
        <v>3</v>
      </c>
      <c r="B63" s="208" t="s">
        <v>194</v>
      </c>
      <c r="C63" s="32"/>
      <c r="D63" s="23"/>
      <c r="E63" s="65"/>
      <c r="F63" s="209">
        <f>SUM(F64:F67)</f>
        <v>72338.48</v>
      </c>
      <c r="G63" s="209">
        <f t="shared" si="0"/>
        <v>70891.71</v>
      </c>
      <c r="H63" s="209">
        <f t="shared" si="2"/>
        <v>1446.77</v>
      </c>
      <c r="I63" s="18"/>
      <c r="J63" s="19"/>
      <c r="K63" s="28"/>
      <c r="L63" s="80">
        <f>SUM(F64:F67)</f>
        <v>72338.48</v>
      </c>
      <c r="N63" s="31"/>
      <c r="O63" s="31"/>
      <c r="P63" s="31"/>
    </row>
    <row r="64" spans="1:16" s="30" customFormat="1" ht="34.5" customHeight="1">
      <c r="A64" s="205" t="s">
        <v>93</v>
      </c>
      <c r="B64" s="21" t="s">
        <v>197</v>
      </c>
      <c r="C64" s="22" t="s">
        <v>19</v>
      </c>
      <c r="D64" s="23">
        <v>1</v>
      </c>
      <c r="E64" s="65">
        <f>6600*1.1528</f>
        <v>7608.48</v>
      </c>
      <c r="F64" s="17">
        <f>E64*D64</f>
        <v>7608.48</v>
      </c>
      <c r="G64" s="17">
        <f t="shared" si="0"/>
        <v>7456.31</v>
      </c>
      <c r="H64" s="17">
        <f>F64-G64</f>
        <v>152.17</v>
      </c>
      <c r="I64" s="17"/>
      <c r="J64" s="19"/>
      <c r="K64" s="28"/>
      <c r="L64" s="29"/>
      <c r="N64" s="31"/>
      <c r="O64" s="31"/>
      <c r="P64" s="31"/>
    </row>
    <row r="65" spans="1:16" s="30" customFormat="1" ht="34.5" customHeight="1">
      <c r="A65" s="205" t="s">
        <v>94</v>
      </c>
      <c r="B65" s="21" t="s">
        <v>195</v>
      </c>
      <c r="C65" s="22" t="s">
        <v>198</v>
      </c>
      <c r="D65" s="23">
        <v>1</v>
      </c>
      <c r="E65" s="65">
        <v>40600</v>
      </c>
      <c r="F65" s="17">
        <f>E65*D65</f>
        <v>40600</v>
      </c>
      <c r="G65" s="17">
        <f>ROUND(F65*98%,2)</f>
        <v>39788</v>
      </c>
      <c r="H65" s="17">
        <f>F65-G65</f>
        <v>812</v>
      </c>
      <c r="I65" s="17"/>
      <c r="J65" s="19"/>
      <c r="K65" s="28"/>
      <c r="L65" s="29"/>
      <c r="N65" s="31"/>
      <c r="O65" s="31"/>
      <c r="P65" s="31"/>
    </row>
    <row r="66" spans="1:16" s="30" customFormat="1" ht="61.5" customHeight="1">
      <c r="A66" s="205" t="s">
        <v>95</v>
      </c>
      <c r="B66" s="21" t="s">
        <v>196</v>
      </c>
      <c r="C66" s="22" t="s">
        <v>19</v>
      </c>
      <c r="D66" s="23">
        <v>1</v>
      </c>
      <c r="E66" s="65">
        <f>ROUND(16300*1.27,2)</f>
        <v>20701</v>
      </c>
      <c r="F66" s="17">
        <f>E66*D66</f>
        <v>20701</v>
      </c>
      <c r="G66" s="17">
        <f t="shared" si="0"/>
        <v>20286.98</v>
      </c>
      <c r="H66" s="17">
        <f>F66-G66</f>
        <v>414.02</v>
      </c>
      <c r="I66" s="17"/>
      <c r="J66" s="19"/>
      <c r="K66" s="28"/>
      <c r="L66" s="29"/>
      <c r="N66" s="31"/>
      <c r="O66" s="31"/>
      <c r="P66" s="31"/>
    </row>
    <row r="67" spans="1:16" s="30" customFormat="1" ht="34.5" customHeight="1">
      <c r="A67" s="205" t="s">
        <v>199</v>
      </c>
      <c r="B67" s="33" t="s">
        <v>200</v>
      </c>
      <c r="C67" s="22" t="s">
        <v>19</v>
      </c>
      <c r="D67" s="23">
        <v>1</v>
      </c>
      <c r="E67" s="65">
        <f>ROUND(2700*1.27,2)</f>
        <v>3429</v>
      </c>
      <c r="F67" s="17">
        <f>E67*D67</f>
        <v>3429</v>
      </c>
      <c r="G67" s="17">
        <f t="shared" si="0"/>
        <v>3360.42</v>
      </c>
      <c r="H67" s="17">
        <f>F67-G67</f>
        <v>68.58</v>
      </c>
      <c r="I67" s="17"/>
      <c r="J67" s="19"/>
      <c r="K67" s="28"/>
      <c r="L67" s="29"/>
      <c r="M67" s="62"/>
      <c r="N67" s="31"/>
      <c r="O67" s="31"/>
      <c r="P67" s="31"/>
    </row>
    <row r="68" spans="1:16" s="30" customFormat="1" ht="33.75" customHeight="1">
      <c r="A68" s="204">
        <v>4</v>
      </c>
      <c r="B68" s="208" t="s">
        <v>88</v>
      </c>
      <c r="C68" s="32"/>
      <c r="D68" s="23"/>
      <c r="E68" s="65"/>
      <c r="F68" s="209">
        <f>SUM(F69:F77)</f>
        <v>19754.48</v>
      </c>
      <c r="G68" s="209">
        <f>SUM(G69:G77)</f>
        <v>19359.38</v>
      </c>
      <c r="H68" s="209">
        <f>SUM(H69:H77)</f>
        <v>395.1</v>
      </c>
      <c r="I68" s="18"/>
      <c r="J68" s="19"/>
      <c r="K68" s="28"/>
      <c r="L68" s="80">
        <f>SUM(F69:F77)</f>
        <v>19754.48</v>
      </c>
      <c r="N68" s="31"/>
      <c r="O68" s="31"/>
      <c r="P68" s="31"/>
    </row>
    <row r="69" spans="1:16" s="30" customFormat="1" ht="49.5" customHeight="1">
      <c r="A69" s="205" t="s">
        <v>96</v>
      </c>
      <c r="B69" s="21" t="s">
        <v>205</v>
      </c>
      <c r="C69" s="22" t="s">
        <v>19</v>
      </c>
      <c r="D69" s="23">
        <v>1</v>
      </c>
      <c r="E69" s="65">
        <f>ROUND(11000*1.1528,2)</f>
        <v>12680.8</v>
      </c>
      <c r="F69" s="17">
        <f>E69*D69</f>
        <v>12680.8</v>
      </c>
      <c r="G69" s="17">
        <f t="shared" si="0"/>
        <v>12427.18</v>
      </c>
      <c r="H69" s="17">
        <f aca="true" t="shared" si="7" ref="H69:H77">F69-G69</f>
        <v>253.62</v>
      </c>
      <c r="I69" s="17"/>
      <c r="J69" s="19"/>
      <c r="K69" s="28"/>
      <c r="L69" s="29"/>
      <c r="N69" s="31"/>
      <c r="O69" s="31"/>
      <c r="P69" s="31"/>
    </row>
    <row r="70" spans="1:16" s="30" customFormat="1" ht="28.5">
      <c r="A70" s="205" t="s">
        <v>97</v>
      </c>
      <c r="B70" s="199" t="s">
        <v>220</v>
      </c>
      <c r="C70" s="22" t="s">
        <v>57</v>
      </c>
      <c r="D70" s="23">
        <v>10</v>
      </c>
      <c r="E70" s="65">
        <f>153.9*1.2758</f>
        <v>196.35</v>
      </c>
      <c r="F70" s="17">
        <f>ROUND(E70*D70,2)</f>
        <v>1963.5</v>
      </c>
      <c r="G70" s="17">
        <f t="shared" si="0"/>
        <v>1924.23</v>
      </c>
      <c r="H70" s="17">
        <f t="shared" si="7"/>
        <v>39.27</v>
      </c>
      <c r="I70" s="79"/>
      <c r="J70" s="19"/>
      <c r="K70" s="28"/>
      <c r="L70" s="29"/>
      <c r="N70" s="31"/>
      <c r="O70" s="31"/>
      <c r="P70" s="31"/>
    </row>
    <row r="71" spans="1:16" s="86" customFormat="1" ht="42.75">
      <c r="A71" s="205" t="s">
        <v>98</v>
      </c>
      <c r="B71" s="34" t="s">
        <v>56</v>
      </c>
      <c r="C71" s="22" t="s">
        <v>57</v>
      </c>
      <c r="D71" s="23">
        <v>10</v>
      </c>
      <c r="E71" s="65">
        <f>ROUND(J71*(1+K71),2)</f>
        <v>122.6</v>
      </c>
      <c r="F71" s="17">
        <f>ROUND(E71*D71,2)</f>
        <v>1226</v>
      </c>
      <c r="G71" s="17">
        <f>ROUND(F71*98%,2)</f>
        <v>1201.48</v>
      </c>
      <c r="H71" s="17">
        <f t="shared" si="7"/>
        <v>24.52</v>
      </c>
      <c r="I71" s="79"/>
      <c r="J71" s="79">
        <v>96.16</v>
      </c>
      <c r="K71" s="84">
        <v>0.275</v>
      </c>
      <c r="N71" s="87"/>
      <c r="O71" s="87"/>
      <c r="P71" s="87"/>
    </row>
    <row r="72" spans="1:16" ht="42.75">
      <c r="A72" s="205" t="s">
        <v>201</v>
      </c>
      <c r="B72" s="34" t="s">
        <v>41</v>
      </c>
      <c r="C72" s="22" t="s">
        <v>25</v>
      </c>
      <c r="D72" s="23">
        <f>+D74</f>
        <v>4.5</v>
      </c>
      <c r="E72" s="65">
        <v>111.04</v>
      </c>
      <c r="F72" s="17">
        <f aca="true" t="shared" si="8" ref="F72:F77">E72*D72</f>
        <v>499.68</v>
      </c>
      <c r="G72" s="17">
        <f>ROUND(F72*98%,2)</f>
        <v>489.69</v>
      </c>
      <c r="H72" s="17">
        <f t="shared" si="7"/>
        <v>9.99</v>
      </c>
      <c r="I72" s="18"/>
      <c r="J72" s="19"/>
      <c r="L72" s="20"/>
      <c r="N72" s="24"/>
      <c r="O72" s="24"/>
      <c r="P72" s="24"/>
    </row>
    <row r="73" spans="1:16" ht="42.75">
      <c r="A73" s="205" t="s">
        <v>202</v>
      </c>
      <c r="B73" s="34" t="s">
        <v>43</v>
      </c>
      <c r="C73" s="22" t="s">
        <v>24</v>
      </c>
      <c r="D73" s="200">
        <f>2.5*3</f>
        <v>7.5</v>
      </c>
      <c r="E73" s="65">
        <f>+ROUND(5.93*1.2758,2)</f>
        <v>7.57</v>
      </c>
      <c r="F73" s="17">
        <f t="shared" si="8"/>
        <v>56.78</v>
      </c>
      <c r="G73" s="17">
        <f>ROUND(F73*98%,2)</f>
        <v>55.64</v>
      </c>
      <c r="H73" s="17">
        <f t="shared" si="7"/>
        <v>1.14</v>
      </c>
      <c r="I73" s="18"/>
      <c r="J73" s="19"/>
      <c r="L73" s="20"/>
      <c r="N73" s="24"/>
      <c r="O73" s="24"/>
      <c r="P73" s="24"/>
    </row>
    <row r="74" spans="1:16" ht="42.75">
      <c r="A74" s="205" t="s">
        <v>203</v>
      </c>
      <c r="B74" s="34" t="s">
        <v>42</v>
      </c>
      <c r="C74" s="22" t="s">
        <v>25</v>
      </c>
      <c r="D74" s="200">
        <f>+(0.5*3*2)+(0.5*1.5*2)</f>
        <v>4.5</v>
      </c>
      <c r="E74" s="65">
        <v>9.06</v>
      </c>
      <c r="F74" s="17">
        <f t="shared" si="8"/>
        <v>40.77</v>
      </c>
      <c r="G74" s="17">
        <f>ROUND(F74*98%,2)</f>
        <v>39.95</v>
      </c>
      <c r="H74" s="17">
        <f t="shared" si="7"/>
        <v>0.82</v>
      </c>
      <c r="I74" s="18"/>
      <c r="J74" s="19"/>
      <c r="L74" s="20"/>
      <c r="N74" s="24"/>
      <c r="O74" s="24"/>
      <c r="P74" s="24"/>
    </row>
    <row r="75" spans="1:16" ht="28.5">
      <c r="A75" s="205" t="s">
        <v>204</v>
      </c>
      <c r="B75" s="34" t="s">
        <v>45</v>
      </c>
      <c r="C75" s="22" t="s">
        <v>24</v>
      </c>
      <c r="D75" s="200">
        <f>+(5*5)</f>
        <v>25</v>
      </c>
      <c r="E75" s="65">
        <f>+ROUND(1.85*1.2758,2)</f>
        <v>2.36</v>
      </c>
      <c r="F75" s="17">
        <f t="shared" si="8"/>
        <v>59</v>
      </c>
      <c r="G75" s="17">
        <f>ROUND(F75*98%,2)</f>
        <v>57.82</v>
      </c>
      <c r="H75" s="17">
        <f t="shared" si="7"/>
        <v>1.18</v>
      </c>
      <c r="I75" s="18"/>
      <c r="J75" s="19"/>
      <c r="L75" s="20"/>
      <c r="N75" s="24"/>
      <c r="O75" s="24"/>
      <c r="P75" s="24"/>
    </row>
    <row r="76" spans="1:16" s="30" customFormat="1" ht="29.25" customHeight="1">
      <c r="A76" s="205" t="s">
        <v>240</v>
      </c>
      <c r="B76" s="21" t="s">
        <v>87</v>
      </c>
      <c r="C76" s="22" t="s">
        <v>19</v>
      </c>
      <c r="D76" s="23">
        <v>1</v>
      </c>
      <c r="E76" s="65">
        <f>ROUND(1950*1.1528,2)</f>
        <v>2247.96</v>
      </c>
      <c r="F76" s="17">
        <f t="shared" si="8"/>
        <v>2247.96</v>
      </c>
      <c r="G76" s="17">
        <f t="shared" si="0"/>
        <v>2203</v>
      </c>
      <c r="H76" s="17">
        <f t="shared" si="7"/>
        <v>44.96</v>
      </c>
      <c r="I76" s="17"/>
      <c r="J76" s="19"/>
      <c r="K76" s="28"/>
      <c r="L76" s="29"/>
      <c r="N76" s="31"/>
      <c r="O76" s="31"/>
      <c r="P76" s="31"/>
    </row>
    <row r="77" spans="1:16" s="30" customFormat="1" ht="34.5" customHeight="1" thickBot="1">
      <c r="A77" s="205" t="s">
        <v>241</v>
      </c>
      <c r="B77" s="21" t="s">
        <v>86</v>
      </c>
      <c r="C77" s="22" t="s">
        <v>19</v>
      </c>
      <c r="D77" s="23">
        <v>1</v>
      </c>
      <c r="E77" s="65">
        <v>979.99</v>
      </c>
      <c r="F77" s="17">
        <f t="shared" si="8"/>
        <v>979.99</v>
      </c>
      <c r="G77" s="17">
        <f t="shared" si="0"/>
        <v>960.39</v>
      </c>
      <c r="H77" s="17">
        <f t="shared" si="7"/>
        <v>19.6</v>
      </c>
      <c r="I77" s="17"/>
      <c r="J77" s="19"/>
      <c r="K77" s="28"/>
      <c r="L77" s="29"/>
      <c r="N77" s="31"/>
      <c r="O77" s="31"/>
      <c r="P77" s="31"/>
    </row>
    <row r="78" spans="1:14" ht="15.75" customHeight="1" thickBot="1">
      <c r="A78" s="35" t="s">
        <v>0</v>
      </c>
      <c r="B78" s="55"/>
      <c r="C78" s="36"/>
      <c r="D78" s="36"/>
      <c r="E78" s="66"/>
      <c r="F78" s="37">
        <v>318364.02</v>
      </c>
      <c r="G78" s="37">
        <v>311996.74</v>
      </c>
      <c r="H78" s="37">
        <v>6367.28</v>
      </c>
      <c r="I78" s="37">
        <f>SUM(I8:I20)</f>
        <v>0</v>
      </c>
      <c r="J78" s="19"/>
      <c r="L78" s="128">
        <f>SUM(L6:L77)</f>
        <v>318364.02</v>
      </c>
      <c r="N78" s="59"/>
    </row>
    <row r="79" spans="1:14" ht="15" thickBot="1">
      <c r="A79" s="38"/>
      <c r="B79" s="133"/>
      <c r="C79" s="39"/>
      <c r="D79" s="40"/>
      <c r="E79" s="67" t="s">
        <v>18</v>
      </c>
      <c r="F79" s="67"/>
      <c r="G79" s="223">
        <f>G78+H78+I78</f>
        <v>318364.02</v>
      </c>
      <c r="H79" s="224"/>
      <c r="I79" s="225"/>
      <c r="J79" s="19"/>
      <c r="L79" s="41"/>
      <c r="N79" s="41"/>
    </row>
    <row r="80" spans="1:14" ht="14.25">
      <c r="A80" s="13" t="s">
        <v>22</v>
      </c>
      <c r="B80" s="226" t="s">
        <v>143</v>
      </c>
      <c r="C80" s="226"/>
      <c r="D80" s="226"/>
      <c r="E80" s="226"/>
      <c r="F80" s="226"/>
      <c r="G80" s="226"/>
      <c r="H80" s="226"/>
      <c r="I80" s="226"/>
      <c r="J80" s="19"/>
      <c r="K80" s="42"/>
      <c r="L80" s="41"/>
      <c r="N80" s="59"/>
    </row>
    <row r="81" spans="1:14" ht="33.75" customHeight="1">
      <c r="A81" s="13"/>
      <c r="B81" s="227" t="s">
        <v>206</v>
      </c>
      <c r="C81" s="227"/>
      <c r="D81" s="227"/>
      <c r="E81" s="227"/>
      <c r="F81" s="227"/>
      <c r="G81" s="227"/>
      <c r="H81" s="227"/>
      <c r="I81" s="227"/>
      <c r="J81" s="19"/>
      <c r="K81" s="42"/>
      <c r="L81" s="75">
        <f>H78/F78</f>
        <v>0.02</v>
      </c>
      <c r="N81" s="58"/>
    </row>
    <row r="82" spans="1:14" ht="14.25">
      <c r="A82" s="13"/>
      <c r="B82" s="56"/>
      <c r="C82" s="43"/>
      <c r="D82" s="44"/>
      <c r="E82" s="68"/>
      <c r="F82" s="69"/>
      <c r="G82" s="43"/>
      <c r="H82" s="43"/>
      <c r="I82" s="43"/>
      <c r="J82" s="19"/>
      <c r="K82" s="42"/>
      <c r="L82" s="41"/>
      <c r="N82" s="58"/>
    </row>
    <row r="83" spans="1:14" ht="14.25">
      <c r="A83" s="13"/>
      <c r="B83" s="56"/>
      <c r="C83" s="43"/>
      <c r="D83" s="44"/>
      <c r="E83" s="68"/>
      <c r="F83" s="69"/>
      <c r="G83" s="43"/>
      <c r="H83" s="43"/>
      <c r="I83" s="43"/>
      <c r="J83" s="19"/>
      <c r="K83" s="42"/>
      <c r="L83" s="41"/>
      <c r="N83" s="58"/>
    </row>
    <row r="84" spans="1:14" ht="14.25">
      <c r="A84" s="13"/>
      <c r="B84" s="56"/>
      <c r="C84" s="43"/>
      <c r="D84" s="44"/>
      <c r="E84" s="68"/>
      <c r="F84" s="69"/>
      <c r="G84" s="43"/>
      <c r="H84" s="43"/>
      <c r="I84" s="43"/>
      <c r="J84" s="19"/>
      <c r="K84" s="42"/>
      <c r="L84" s="41"/>
      <c r="N84" s="58"/>
    </row>
    <row r="85" spans="1:14" ht="14.25">
      <c r="A85" s="13"/>
      <c r="B85" s="56"/>
      <c r="C85" s="43"/>
      <c r="D85" s="44"/>
      <c r="E85" s="68"/>
      <c r="F85" s="69"/>
      <c r="G85" s="43"/>
      <c r="H85" s="43"/>
      <c r="I85" s="43"/>
      <c r="J85" s="19"/>
      <c r="K85" s="42"/>
      <c r="L85" s="41"/>
      <c r="N85" s="58"/>
    </row>
    <row r="86" spans="1:14" ht="14.25">
      <c r="A86" s="13"/>
      <c r="B86" s="56"/>
      <c r="C86" s="43"/>
      <c r="D86" s="44"/>
      <c r="E86" s="68"/>
      <c r="F86" s="69"/>
      <c r="G86" s="43"/>
      <c r="H86" s="43"/>
      <c r="I86" s="43"/>
      <c r="J86" s="19"/>
      <c r="K86" s="42"/>
      <c r="L86" s="41"/>
      <c r="N86" s="58"/>
    </row>
    <row r="87" spans="1:14" ht="14.25">
      <c r="A87" s="13"/>
      <c r="B87" s="56"/>
      <c r="C87" s="43"/>
      <c r="D87" s="44"/>
      <c r="E87" s="68"/>
      <c r="F87" s="69"/>
      <c r="G87" s="43"/>
      <c r="H87" s="43"/>
      <c r="I87" s="43"/>
      <c r="J87" s="19"/>
      <c r="K87" s="42"/>
      <c r="L87" s="41"/>
      <c r="N87" s="58"/>
    </row>
    <row r="88" spans="1:14" ht="14.25">
      <c r="A88" s="13"/>
      <c r="B88" s="56"/>
      <c r="C88" s="43"/>
      <c r="D88" s="44"/>
      <c r="E88" s="68"/>
      <c r="F88" s="69"/>
      <c r="G88" s="43"/>
      <c r="H88" s="43"/>
      <c r="I88" s="43"/>
      <c r="J88" s="19"/>
      <c r="K88" s="42"/>
      <c r="L88" s="41"/>
      <c r="N88" s="58"/>
    </row>
    <row r="89" spans="1:14" ht="14.25">
      <c r="A89" s="13"/>
      <c r="B89" s="56"/>
      <c r="C89" s="43"/>
      <c r="D89" s="44"/>
      <c r="E89" s="68"/>
      <c r="F89" s="69"/>
      <c r="G89" s="43"/>
      <c r="H89" s="43"/>
      <c r="I89" s="43"/>
      <c r="J89" s="19"/>
      <c r="K89" s="42"/>
      <c r="L89" s="41"/>
      <c r="N89" s="58"/>
    </row>
    <row r="90" spans="1:14" ht="14.25">
      <c r="A90" s="13"/>
      <c r="B90" s="56"/>
      <c r="C90" s="43"/>
      <c r="D90" s="44"/>
      <c r="E90" s="68"/>
      <c r="F90" s="69"/>
      <c r="G90" s="43"/>
      <c r="H90" s="43"/>
      <c r="I90" s="43"/>
      <c r="J90" s="19"/>
      <c r="K90" s="42"/>
      <c r="L90" s="41"/>
      <c r="N90" s="58"/>
    </row>
    <row r="91" spans="1:14" ht="14.25">
      <c r="A91" s="13"/>
      <c r="B91" s="56"/>
      <c r="C91" s="43"/>
      <c r="D91" s="44"/>
      <c r="E91" s="68"/>
      <c r="F91" s="69"/>
      <c r="G91" s="43"/>
      <c r="H91" s="69"/>
      <c r="I91" s="43"/>
      <c r="J91" s="19"/>
      <c r="K91" s="42"/>
      <c r="L91" s="41"/>
      <c r="N91" s="58"/>
    </row>
    <row r="92" spans="1:12" ht="14.25">
      <c r="A92" s="13"/>
      <c r="B92" s="56"/>
      <c r="C92" s="43"/>
      <c r="D92" s="44"/>
      <c r="E92" s="68"/>
      <c r="F92" s="69"/>
      <c r="G92" s="43"/>
      <c r="H92" s="43"/>
      <c r="I92" s="43"/>
      <c r="J92" s="19"/>
      <c r="K92" s="42"/>
      <c r="L92" s="41"/>
    </row>
    <row r="93" spans="1:12" ht="14.25">
      <c r="A93" s="45"/>
      <c r="B93" s="56"/>
      <c r="C93" s="45"/>
      <c r="D93" s="46"/>
      <c r="E93" s="70"/>
      <c r="F93" s="70"/>
      <c r="G93" s="47"/>
      <c r="H93" s="47"/>
      <c r="I93" s="47"/>
      <c r="J93" s="19"/>
      <c r="K93" s="74"/>
      <c r="L93" s="41"/>
    </row>
    <row r="94" spans="2:10" ht="13.5" thickBot="1">
      <c r="B94" s="134"/>
      <c r="G94" s="49"/>
      <c r="H94" s="49"/>
      <c r="J94" s="19"/>
    </row>
    <row r="95" spans="2:10" ht="15" thickTop="1">
      <c r="B95" s="135" t="s">
        <v>21</v>
      </c>
      <c r="C95" s="60"/>
      <c r="D95" s="10"/>
      <c r="E95" s="72"/>
      <c r="F95" s="73"/>
      <c r="G95" s="61" t="s">
        <v>6</v>
      </c>
      <c r="H95" s="50"/>
      <c r="J95" s="19"/>
    </row>
    <row r="96" spans="1:12" ht="14.25">
      <c r="A96" s="51"/>
      <c r="B96" s="129" t="s">
        <v>192</v>
      </c>
      <c r="C96" s="51"/>
      <c r="D96" s="10"/>
      <c r="E96" s="72"/>
      <c r="F96" s="73"/>
      <c r="G96" s="130" t="s">
        <v>242</v>
      </c>
      <c r="H96" s="131"/>
      <c r="I96" s="52"/>
      <c r="J96" s="19"/>
      <c r="K96" s="42"/>
      <c r="L96" s="41"/>
    </row>
    <row r="97" spans="2:10" ht="14.25">
      <c r="B97" s="129" t="s">
        <v>193</v>
      </c>
      <c r="C97" s="60"/>
      <c r="D97" s="10"/>
      <c r="E97" s="72"/>
      <c r="F97" s="73"/>
      <c r="G97" s="130" t="s">
        <v>243</v>
      </c>
      <c r="H97" s="131"/>
      <c r="J97" s="19"/>
    </row>
    <row r="98" spans="1:12" ht="30" customHeight="1">
      <c r="A98" s="51"/>
      <c r="B98" s="136"/>
      <c r="C98" s="6"/>
      <c r="D98" s="10"/>
      <c r="E98" s="72"/>
      <c r="F98" s="73"/>
      <c r="G98" s="53"/>
      <c r="H98" s="53"/>
      <c r="I98" s="52"/>
      <c r="J98" s="19"/>
      <c r="K98" s="42"/>
      <c r="L98" s="41"/>
    </row>
    <row r="99" spans="1:12" ht="12.75">
      <c r="A99" s="24"/>
      <c r="B99" s="137"/>
      <c r="C99" s="24"/>
      <c r="G99" s="54"/>
      <c r="H99" s="54"/>
      <c r="I99" s="41"/>
      <c r="J99" s="41"/>
      <c r="L99" s="41"/>
    </row>
    <row r="100" spans="7:12" ht="12.75">
      <c r="G100" s="48"/>
      <c r="H100" s="48"/>
      <c r="I100" s="41"/>
      <c r="J100" s="41"/>
      <c r="L100" s="41"/>
    </row>
    <row r="101" spans="7:12" ht="12.75">
      <c r="G101" s="41"/>
      <c r="H101" s="41"/>
      <c r="I101" s="41"/>
      <c r="J101" s="41"/>
      <c r="L101" s="41"/>
    </row>
  </sheetData>
  <sheetProtection/>
  <autoFilter ref="B1:B101"/>
  <mergeCells count="17">
    <mergeCell ref="G79:I79"/>
    <mergeCell ref="B80:I80"/>
    <mergeCell ref="B81:I81"/>
    <mergeCell ref="A1:B1"/>
    <mergeCell ref="C1:H1"/>
    <mergeCell ref="A2:B2"/>
    <mergeCell ref="D2:H2"/>
    <mergeCell ref="A3:B3"/>
    <mergeCell ref="D3:H3"/>
    <mergeCell ref="G5:I5"/>
    <mergeCell ref="G4:I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5" right="0.25" top="0.75" bottom="0.75" header="0.3" footer="0.3"/>
  <pageSetup fitToHeight="4" horizontalDpi="600" verticalDpi="600" orientation="landscape" paperSize="9" scale="54" r:id="rId2"/>
  <rowBreaks count="2" manualBreakCount="2">
    <brk id="32" max="11" man="1"/>
    <brk id="57" max="11" man="1"/>
  </rowBreaks>
  <ignoredErrors>
    <ignoredError sqref="I78" unlockedFormula="1"/>
    <ignoredError sqref="F48 D5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2" width="9.140625" style="139" customWidth="1"/>
    <col min="13" max="13" width="22.8515625" style="139" customWidth="1"/>
    <col min="14" max="16384" width="9.140625" style="139" customWidth="1"/>
  </cols>
  <sheetData>
    <row r="1" spans="1:13" ht="15.75">
      <c r="A1" s="265" t="s">
        <v>145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ht="15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ht="12.75">
      <c r="A3" s="258" t="s">
        <v>146</v>
      </c>
      <c r="B3" s="259"/>
      <c r="C3" s="140"/>
      <c r="D3" s="259" t="s">
        <v>146</v>
      </c>
      <c r="E3" s="259"/>
      <c r="F3" s="259"/>
      <c r="G3" s="259"/>
      <c r="H3" s="259"/>
      <c r="I3" s="140"/>
      <c r="J3" s="141" t="s">
        <v>147</v>
      </c>
      <c r="K3" s="140"/>
      <c r="L3" s="140"/>
      <c r="M3" s="142"/>
    </row>
    <row r="4" spans="1:13" ht="12.75">
      <c r="A4" s="143"/>
      <c r="B4" s="140"/>
      <c r="C4" s="140"/>
      <c r="D4" s="260" t="s">
        <v>148</v>
      </c>
      <c r="E4" s="260"/>
      <c r="F4" s="140"/>
      <c r="G4" s="260"/>
      <c r="H4" s="260"/>
      <c r="I4" s="140"/>
      <c r="J4" s="141" t="s">
        <v>149</v>
      </c>
      <c r="K4" s="140"/>
      <c r="L4" s="140"/>
      <c r="M4" s="142"/>
    </row>
    <row r="5" spans="1:13" ht="12.75">
      <c r="A5" s="144" t="s">
        <v>150</v>
      </c>
      <c r="B5" s="145" t="s">
        <v>151</v>
      </c>
      <c r="C5" s="140"/>
      <c r="D5" s="261" t="s">
        <v>152</v>
      </c>
      <c r="E5" s="262"/>
      <c r="F5" s="140"/>
      <c r="G5" s="263" t="s">
        <v>153</v>
      </c>
      <c r="H5" s="264"/>
      <c r="I5" s="140"/>
      <c r="J5" s="140"/>
      <c r="K5" s="146" t="s">
        <v>154</v>
      </c>
      <c r="L5" s="146" t="s">
        <v>155</v>
      </c>
      <c r="M5" s="147" t="s">
        <v>156</v>
      </c>
    </row>
    <row r="6" spans="1:13" ht="12.75">
      <c r="A6" s="148" t="s">
        <v>157</v>
      </c>
      <c r="B6" s="149" t="s">
        <v>158</v>
      </c>
      <c r="C6" s="140"/>
      <c r="D6" s="150" t="s">
        <v>158</v>
      </c>
      <c r="E6" s="151">
        <v>0.0671</v>
      </c>
      <c r="F6" s="140"/>
      <c r="G6" s="152" t="s">
        <v>158</v>
      </c>
      <c r="H6" s="153">
        <v>0.0671</v>
      </c>
      <c r="I6" s="140"/>
      <c r="J6" s="154" t="s">
        <v>159</v>
      </c>
      <c r="K6" s="155">
        <v>0.0343</v>
      </c>
      <c r="L6" s="155">
        <v>0.0493</v>
      </c>
      <c r="M6" s="156">
        <v>0.0671</v>
      </c>
    </row>
    <row r="7" spans="1:13" ht="12.75">
      <c r="A7" s="157" t="s">
        <v>160</v>
      </c>
      <c r="B7" s="158" t="s">
        <v>161</v>
      </c>
      <c r="C7" s="140"/>
      <c r="D7" s="152" t="s">
        <v>161</v>
      </c>
      <c r="E7" s="159">
        <v>0.006</v>
      </c>
      <c r="F7" s="140"/>
      <c r="G7" s="152" t="s">
        <v>161</v>
      </c>
      <c r="H7" s="159">
        <v>0.0049</v>
      </c>
      <c r="I7" s="140"/>
      <c r="J7" s="160" t="s">
        <v>162</v>
      </c>
      <c r="K7" s="161">
        <v>0.0028</v>
      </c>
      <c r="L7" s="161">
        <v>0.0049</v>
      </c>
      <c r="M7" s="162">
        <v>0.0075</v>
      </c>
    </row>
    <row r="8" spans="1:13" ht="12.75">
      <c r="A8" s="148" t="s">
        <v>163</v>
      </c>
      <c r="B8" s="149" t="s">
        <v>164</v>
      </c>
      <c r="C8" s="140"/>
      <c r="D8" s="150" t="s">
        <v>164</v>
      </c>
      <c r="E8" s="163">
        <v>0.0172</v>
      </c>
      <c r="F8" s="140"/>
      <c r="G8" s="152" t="s">
        <v>164</v>
      </c>
      <c r="H8" s="159">
        <v>0.0139</v>
      </c>
      <c r="I8" s="140"/>
      <c r="J8" s="164" t="s">
        <v>165</v>
      </c>
      <c r="K8" s="155">
        <v>0.01</v>
      </c>
      <c r="L8" s="155">
        <v>0.0139</v>
      </c>
      <c r="M8" s="156">
        <v>0.0174</v>
      </c>
    </row>
    <row r="9" spans="1:13" ht="12.75">
      <c r="A9" s="157" t="s">
        <v>166</v>
      </c>
      <c r="B9" s="158" t="s">
        <v>167</v>
      </c>
      <c r="C9" s="140"/>
      <c r="D9" s="165" t="s">
        <v>167</v>
      </c>
      <c r="E9" s="166">
        <v>0.01</v>
      </c>
      <c r="F9" s="140"/>
      <c r="G9" s="165" t="s">
        <v>167</v>
      </c>
      <c r="H9" s="166">
        <v>0.0099</v>
      </c>
      <c r="I9" s="140"/>
      <c r="J9" s="160" t="s">
        <v>168</v>
      </c>
      <c r="K9" s="161">
        <v>0.0094</v>
      </c>
      <c r="L9" s="161">
        <v>0.0099</v>
      </c>
      <c r="M9" s="162">
        <v>0.0117</v>
      </c>
    </row>
    <row r="10" spans="1:13" ht="12.75">
      <c r="A10" s="167" t="s">
        <v>169</v>
      </c>
      <c r="B10" s="168" t="s">
        <v>170</v>
      </c>
      <c r="C10" s="169"/>
      <c r="D10" s="170" t="s">
        <v>170</v>
      </c>
      <c r="E10" s="171">
        <v>0.0815</v>
      </c>
      <c r="F10" s="169"/>
      <c r="G10" s="165" t="s">
        <v>170</v>
      </c>
      <c r="H10" s="166">
        <v>0.0804</v>
      </c>
      <c r="I10" s="169"/>
      <c r="J10" s="164" t="s">
        <v>171</v>
      </c>
      <c r="K10" s="155">
        <v>0.0674</v>
      </c>
      <c r="L10" s="155">
        <v>0.0804</v>
      </c>
      <c r="M10" s="156">
        <v>0.094</v>
      </c>
    </row>
    <row r="11" spans="1:13" ht="12.75">
      <c r="A11" s="172" t="s">
        <v>172</v>
      </c>
      <c r="B11" s="173"/>
      <c r="C11" s="169"/>
      <c r="D11" s="165" t="s">
        <v>173</v>
      </c>
      <c r="E11" s="166">
        <v>0.0365</v>
      </c>
      <c r="F11" s="169"/>
      <c r="G11" s="165" t="s">
        <v>173</v>
      </c>
      <c r="H11" s="166">
        <v>0.0365</v>
      </c>
      <c r="I11" s="169"/>
      <c r="J11" s="140"/>
      <c r="K11" s="140"/>
      <c r="L11" s="140"/>
      <c r="M11" s="142"/>
    </row>
    <row r="12" spans="1:13" ht="22.5">
      <c r="A12" s="167" t="s">
        <v>174</v>
      </c>
      <c r="B12" s="168" t="s">
        <v>173</v>
      </c>
      <c r="C12" s="140"/>
      <c r="D12" s="170" t="s">
        <v>175</v>
      </c>
      <c r="E12" s="166">
        <v>0.03</v>
      </c>
      <c r="F12" s="169"/>
      <c r="G12" s="165" t="s">
        <v>175</v>
      </c>
      <c r="H12" s="166">
        <v>0.03</v>
      </c>
      <c r="I12" s="140"/>
      <c r="J12" s="140"/>
      <c r="K12" s="140"/>
      <c r="L12" s="140"/>
      <c r="M12" s="142"/>
    </row>
    <row r="13" spans="1:13" ht="12.75">
      <c r="A13" s="174" t="s">
        <v>175</v>
      </c>
      <c r="B13" s="173" t="s">
        <v>175</v>
      </c>
      <c r="C13" s="140"/>
      <c r="D13" s="165" t="s">
        <v>176</v>
      </c>
      <c r="E13" s="166">
        <v>0</v>
      </c>
      <c r="F13" s="169"/>
      <c r="G13" s="165" t="s">
        <v>176</v>
      </c>
      <c r="H13" s="166">
        <v>0.02</v>
      </c>
      <c r="I13" s="140"/>
      <c r="J13" s="175" t="s">
        <v>177</v>
      </c>
      <c r="K13" s="175"/>
      <c r="L13" s="175"/>
      <c r="M13" s="176"/>
    </row>
    <row r="14" spans="1:13" ht="33.75">
      <c r="A14" s="167" t="s">
        <v>178</v>
      </c>
      <c r="B14" s="168" t="s">
        <v>176</v>
      </c>
      <c r="C14" s="140"/>
      <c r="D14" s="150" t="s">
        <v>179</v>
      </c>
      <c r="E14" s="163">
        <f>E13+E12+E11</f>
        <v>0.0665</v>
      </c>
      <c r="F14" s="169"/>
      <c r="G14" s="152" t="s">
        <v>179</v>
      </c>
      <c r="H14" s="159">
        <f>H13+H12+H11</f>
        <v>0.0865</v>
      </c>
      <c r="I14" s="140"/>
      <c r="J14" s="140"/>
      <c r="K14" s="146" t="s">
        <v>154</v>
      </c>
      <c r="L14" s="146" t="s">
        <v>155</v>
      </c>
      <c r="M14" s="147" t="s">
        <v>156</v>
      </c>
    </row>
    <row r="15" spans="1:13" ht="22.5">
      <c r="A15" s="177" t="s">
        <v>180</v>
      </c>
      <c r="B15" s="173" t="s">
        <v>179</v>
      </c>
      <c r="C15" s="140"/>
      <c r="D15" s="245" t="s">
        <v>181</v>
      </c>
      <c r="E15" s="178"/>
      <c r="F15" s="140"/>
      <c r="G15" s="248" t="s">
        <v>181</v>
      </c>
      <c r="H15" s="179"/>
      <c r="I15" s="140"/>
      <c r="J15" s="140"/>
      <c r="K15" s="155">
        <v>0.2076</v>
      </c>
      <c r="L15" s="155">
        <v>0.2418</v>
      </c>
      <c r="M15" s="156">
        <v>0.2644</v>
      </c>
    </row>
    <row r="16" spans="1:13" ht="12.75">
      <c r="A16" s="251" t="s">
        <v>182</v>
      </c>
      <c r="B16" s="252"/>
      <c r="C16" s="140"/>
      <c r="D16" s="246"/>
      <c r="E16" s="180">
        <f>(((1+E6+E7+E8)*(1+E9)*(1+E10))/(1-E14))-1</f>
        <v>0.2758</v>
      </c>
      <c r="F16" s="140"/>
      <c r="G16" s="249"/>
      <c r="H16" s="181">
        <f>(((1+H6+H7+H8)*(1+H9)*(1+H10))/(1-H14))-1</f>
        <v>0.297</v>
      </c>
      <c r="I16" s="140"/>
      <c r="J16" s="140"/>
      <c r="K16" s="140"/>
      <c r="L16" s="140"/>
      <c r="M16" s="142"/>
    </row>
    <row r="17" spans="1:13" ht="12.75">
      <c r="A17" s="253" t="s">
        <v>183</v>
      </c>
      <c r="B17" s="254"/>
      <c r="C17" s="140"/>
      <c r="D17" s="247"/>
      <c r="E17" s="182"/>
      <c r="F17" s="140"/>
      <c r="G17" s="250"/>
      <c r="H17" s="183"/>
      <c r="I17" s="140"/>
      <c r="J17" s="140"/>
      <c r="K17" s="140"/>
      <c r="L17" s="140"/>
      <c r="M17" s="142"/>
    </row>
    <row r="18" spans="1:13" ht="12.75">
      <c r="A18" s="255" t="s">
        <v>184</v>
      </c>
      <c r="B18" s="256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2"/>
    </row>
    <row r="19" spans="1:13" ht="12.75">
      <c r="A19" s="143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2"/>
    </row>
    <row r="20" spans="1:13" ht="12.75">
      <c r="A20" s="258" t="s">
        <v>185</v>
      </c>
      <c r="B20" s="259"/>
      <c r="C20" s="140"/>
      <c r="D20" s="259" t="s">
        <v>186</v>
      </c>
      <c r="E20" s="259"/>
      <c r="F20" s="259"/>
      <c r="G20" s="259"/>
      <c r="H20" s="259"/>
      <c r="I20" s="140"/>
      <c r="J20" s="140"/>
      <c r="K20" s="140"/>
      <c r="L20" s="140"/>
      <c r="M20" s="142"/>
    </row>
    <row r="21" spans="1:13" ht="12.75">
      <c r="A21" s="143"/>
      <c r="B21" s="140"/>
      <c r="C21" s="140"/>
      <c r="D21" s="260" t="s">
        <v>148</v>
      </c>
      <c r="E21" s="260"/>
      <c r="F21" s="140"/>
      <c r="G21" s="260"/>
      <c r="H21" s="260"/>
      <c r="I21" s="140"/>
      <c r="J21" s="141" t="s">
        <v>187</v>
      </c>
      <c r="K21" s="140"/>
      <c r="L21" s="140"/>
      <c r="M21" s="142"/>
    </row>
    <row r="22" spans="1:13" ht="12.75">
      <c r="A22" s="144" t="s">
        <v>150</v>
      </c>
      <c r="B22" s="145" t="s">
        <v>151</v>
      </c>
      <c r="C22" s="140"/>
      <c r="D22" s="261" t="s">
        <v>152</v>
      </c>
      <c r="E22" s="262"/>
      <c r="F22" s="140"/>
      <c r="G22" s="263" t="s">
        <v>153</v>
      </c>
      <c r="H22" s="264"/>
      <c r="I22" s="140"/>
      <c r="J22" s="140"/>
      <c r="K22" s="184" t="s">
        <v>154</v>
      </c>
      <c r="L22" s="184" t="s">
        <v>155</v>
      </c>
      <c r="M22" s="185" t="s">
        <v>156</v>
      </c>
    </row>
    <row r="23" spans="1:13" ht="12.75">
      <c r="A23" s="148" t="s">
        <v>157</v>
      </c>
      <c r="B23" s="149" t="s">
        <v>158</v>
      </c>
      <c r="C23" s="169"/>
      <c r="D23" s="150" t="s">
        <v>158</v>
      </c>
      <c r="E23" s="151">
        <v>0.0345</v>
      </c>
      <c r="F23" s="140"/>
      <c r="G23" s="152" t="s">
        <v>158</v>
      </c>
      <c r="H23" s="153">
        <v>0.0345</v>
      </c>
      <c r="I23" s="140"/>
      <c r="J23" s="154" t="s">
        <v>159</v>
      </c>
      <c r="K23" s="155">
        <v>0.015</v>
      </c>
      <c r="L23" s="155">
        <v>0.0345</v>
      </c>
      <c r="M23" s="156">
        <v>0.0449</v>
      </c>
    </row>
    <row r="24" spans="1:13" ht="12.75">
      <c r="A24" s="157" t="s">
        <v>160</v>
      </c>
      <c r="B24" s="158" t="s">
        <v>161</v>
      </c>
      <c r="C24" s="169"/>
      <c r="D24" s="152" t="s">
        <v>161</v>
      </c>
      <c r="E24" s="159">
        <v>0.0048</v>
      </c>
      <c r="F24" s="140"/>
      <c r="G24" s="152" t="s">
        <v>161</v>
      </c>
      <c r="H24" s="159">
        <v>0.0048</v>
      </c>
      <c r="I24" s="140"/>
      <c r="J24" s="186" t="s">
        <v>162</v>
      </c>
      <c r="K24" s="187">
        <v>0.003</v>
      </c>
      <c r="L24" s="187">
        <v>0.0048</v>
      </c>
      <c r="M24" s="188">
        <v>0.0082</v>
      </c>
    </row>
    <row r="25" spans="1:13" ht="12.75">
      <c r="A25" s="148" t="s">
        <v>163</v>
      </c>
      <c r="B25" s="149" t="s">
        <v>164</v>
      </c>
      <c r="C25" s="140"/>
      <c r="D25" s="150" t="s">
        <v>164</v>
      </c>
      <c r="E25" s="163">
        <v>0.0085</v>
      </c>
      <c r="F25" s="140"/>
      <c r="G25" s="152" t="s">
        <v>164</v>
      </c>
      <c r="H25" s="159">
        <v>0.0085</v>
      </c>
      <c r="I25" s="140"/>
      <c r="J25" s="164" t="s">
        <v>165</v>
      </c>
      <c r="K25" s="155">
        <v>0.0056</v>
      </c>
      <c r="L25" s="155">
        <v>0.0085</v>
      </c>
      <c r="M25" s="156">
        <v>0.0089</v>
      </c>
    </row>
    <row r="26" spans="1:13" ht="12.75">
      <c r="A26" s="157" t="s">
        <v>166</v>
      </c>
      <c r="B26" s="158" t="s">
        <v>167</v>
      </c>
      <c r="C26" s="140"/>
      <c r="D26" s="165" t="s">
        <v>167</v>
      </c>
      <c r="E26" s="166">
        <v>0.0085</v>
      </c>
      <c r="F26" s="140"/>
      <c r="G26" s="165" t="s">
        <v>167</v>
      </c>
      <c r="H26" s="166">
        <v>0.0085</v>
      </c>
      <c r="I26" s="140"/>
      <c r="J26" s="186" t="s">
        <v>168</v>
      </c>
      <c r="K26" s="187">
        <v>0.0085</v>
      </c>
      <c r="L26" s="187">
        <v>0.0085</v>
      </c>
      <c r="M26" s="188">
        <v>0.0111</v>
      </c>
    </row>
    <row r="27" spans="1:13" ht="12.75">
      <c r="A27" s="167" t="s">
        <v>169</v>
      </c>
      <c r="B27" s="168" t="s">
        <v>170</v>
      </c>
      <c r="C27" s="140"/>
      <c r="D27" s="170" t="s">
        <v>170</v>
      </c>
      <c r="E27" s="171">
        <v>0.0511</v>
      </c>
      <c r="F27" s="140"/>
      <c r="G27" s="165" t="s">
        <v>170</v>
      </c>
      <c r="H27" s="166">
        <v>0.0511</v>
      </c>
      <c r="I27" s="140"/>
      <c r="J27" s="164" t="s">
        <v>171</v>
      </c>
      <c r="K27" s="155">
        <v>0.035</v>
      </c>
      <c r="L27" s="155">
        <v>0.0511</v>
      </c>
      <c r="M27" s="156">
        <v>0.0622</v>
      </c>
    </row>
    <row r="28" spans="1:13" ht="12.75">
      <c r="A28" s="172" t="s">
        <v>172</v>
      </c>
      <c r="B28" s="173"/>
      <c r="C28" s="140"/>
      <c r="D28" s="165" t="s">
        <v>173</v>
      </c>
      <c r="E28" s="166">
        <v>0.0365</v>
      </c>
      <c r="F28" s="140"/>
      <c r="G28" s="165" t="s">
        <v>173</v>
      </c>
      <c r="H28" s="166">
        <v>0.0365</v>
      </c>
      <c r="I28" s="140"/>
      <c r="J28" s="140"/>
      <c r="K28" s="140"/>
      <c r="L28" s="140"/>
      <c r="M28" s="142"/>
    </row>
    <row r="29" spans="1:13" ht="22.5">
      <c r="A29" s="167" t="s">
        <v>174</v>
      </c>
      <c r="B29" s="168" t="s">
        <v>173</v>
      </c>
      <c r="C29" s="140"/>
      <c r="D29" s="170" t="s">
        <v>176</v>
      </c>
      <c r="E29" s="171">
        <v>0</v>
      </c>
      <c r="F29" s="140"/>
      <c r="G29" s="165" t="s">
        <v>176</v>
      </c>
      <c r="H29" s="166">
        <v>0.02</v>
      </c>
      <c r="I29" s="140"/>
      <c r="J29" s="140"/>
      <c r="K29" s="140"/>
      <c r="L29" s="140"/>
      <c r="M29" s="142"/>
    </row>
    <row r="30" spans="1:13" ht="33.75">
      <c r="A30" s="174" t="s">
        <v>178</v>
      </c>
      <c r="B30" s="173" t="s">
        <v>176</v>
      </c>
      <c r="C30" s="140"/>
      <c r="D30" s="150" t="s">
        <v>179</v>
      </c>
      <c r="E30" s="163">
        <f>E29+E28</f>
        <v>0.0365</v>
      </c>
      <c r="F30" s="189"/>
      <c r="G30" s="152" t="s">
        <v>188</v>
      </c>
      <c r="H30" s="159">
        <f>H29+H28</f>
        <v>0.0565</v>
      </c>
      <c r="I30" s="140"/>
      <c r="J30" s="190" t="s">
        <v>189</v>
      </c>
      <c r="K30" s="190"/>
      <c r="L30" s="190"/>
      <c r="M30" s="191"/>
    </row>
    <row r="31" spans="1:13" ht="22.5">
      <c r="A31" s="192" t="s">
        <v>180</v>
      </c>
      <c r="B31" s="168" t="s">
        <v>179</v>
      </c>
      <c r="C31" s="189"/>
      <c r="D31" s="245" t="s">
        <v>181</v>
      </c>
      <c r="E31" s="178"/>
      <c r="F31" s="140"/>
      <c r="G31" s="248" t="s">
        <v>181</v>
      </c>
      <c r="H31" s="179"/>
      <c r="I31" s="140"/>
      <c r="J31" s="140"/>
      <c r="K31" s="184" t="s">
        <v>154</v>
      </c>
      <c r="L31" s="184" t="s">
        <v>155</v>
      </c>
      <c r="M31" s="185" t="s">
        <v>156</v>
      </c>
    </row>
    <row r="32" spans="1:13" ht="12.75">
      <c r="A32" s="251" t="s">
        <v>182</v>
      </c>
      <c r="B32" s="252"/>
      <c r="C32" s="140"/>
      <c r="D32" s="246"/>
      <c r="E32" s="180">
        <f>(((1+E23+E24+E25)*(1+E26)*(1+E27))/(1-E30))-1</f>
        <v>0.1528</v>
      </c>
      <c r="F32" s="140"/>
      <c r="G32" s="249"/>
      <c r="H32" s="181">
        <f>(((1+H23+H24+H25)*(1+H26)*(1+H27))/(1-H30))-1</f>
        <v>0.1772</v>
      </c>
      <c r="I32" s="140"/>
      <c r="J32" s="140"/>
      <c r="K32" s="155">
        <v>0.111</v>
      </c>
      <c r="L32" s="155">
        <v>0.1402</v>
      </c>
      <c r="M32" s="156">
        <v>0.168</v>
      </c>
    </row>
    <row r="33" spans="1:13" ht="12.75">
      <c r="A33" s="253" t="s">
        <v>183</v>
      </c>
      <c r="B33" s="254"/>
      <c r="C33" s="140"/>
      <c r="D33" s="247"/>
      <c r="E33" s="182"/>
      <c r="F33" s="140"/>
      <c r="G33" s="250"/>
      <c r="H33" s="183"/>
      <c r="I33" s="140"/>
      <c r="J33" s="140"/>
      <c r="K33" s="140"/>
      <c r="L33" s="140"/>
      <c r="M33" s="142"/>
    </row>
    <row r="34" spans="1:13" ht="12.75">
      <c r="A34" s="255" t="s">
        <v>184</v>
      </c>
      <c r="B34" s="256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2"/>
    </row>
    <row r="35" spans="1:13" ht="12.75">
      <c r="A35" s="143"/>
      <c r="B35" s="140"/>
      <c r="C35" s="140"/>
      <c r="D35" s="141"/>
      <c r="E35" s="140"/>
      <c r="F35" s="140"/>
      <c r="G35" s="140"/>
      <c r="H35" s="140"/>
      <c r="I35" s="140"/>
      <c r="J35" s="140"/>
      <c r="K35" s="140"/>
      <c r="L35" s="140"/>
      <c r="M35" s="142"/>
    </row>
    <row r="36" spans="1:13" ht="12.75">
      <c r="A36" s="143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2"/>
    </row>
    <row r="37" spans="1:13" ht="13.5" thickBot="1">
      <c r="A37" s="193"/>
      <c r="B37" s="194"/>
      <c r="C37" s="194"/>
      <c r="D37" s="194"/>
      <c r="E37" s="194"/>
      <c r="F37" s="140"/>
      <c r="G37" s="140"/>
      <c r="H37" s="140"/>
      <c r="I37" s="140"/>
      <c r="J37" s="140"/>
      <c r="K37" s="140"/>
      <c r="L37" s="140"/>
      <c r="M37" s="142"/>
    </row>
    <row r="38" spans="1:13" ht="16.5" thickTop="1">
      <c r="A38" s="195"/>
      <c r="B38" s="140"/>
      <c r="C38" s="140"/>
      <c r="D38" s="140"/>
      <c r="E38" s="257" t="s">
        <v>190</v>
      </c>
      <c r="F38" s="257"/>
      <c r="G38" s="257"/>
      <c r="H38" s="257"/>
      <c r="I38" s="140"/>
      <c r="J38" s="140"/>
      <c r="K38" s="140"/>
      <c r="L38" s="140"/>
      <c r="M38" s="142"/>
    </row>
    <row r="39" spans="1:13" ht="12.75">
      <c r="A39" s="143"/>
      <c r="B39" s="140"/>
      <c r="C39" s="140"/>
      <c r="D39" s="140"/>
      <c r="E39" s="243" t="s">
        <v>144</v>
      </c>
      <c r="F39" s="243"/>
      <c r="G39" s="243"/>
      <c r="H39" s="243"/>
      <c r="I39" s="140"/>
      <c r="J39" s="140"/>
      <c r="K39" s="140"/>
      <c r="L39" s="140"/>
      <c r="M39" s="142"/>
    </row>
    <row r="40" spans="1:13" ht="13.5" thickBot="1">
      <c r="A40" s="196"/>
      <c r="B40" s="197"/>
      <c r="C40" s="197"/>
      <c r="D40" s="197"/>
      <c r="E40" s="244" t="s">
        <v>191</v>
      </c>
      <c r="F40" s="244"/>
      <c r="G40" s="244"/>
      <c r="H40" s="244"/>
      <c r="I40" s="197"/>
      <c r="J40" s="197"/>
      <c r="K40" s="197"/>
      <c r="L40" s="197"/>
      <c r="M40" s="198"/>
    </row>
  </sheetData>
  <sheetProtection/>
  <mergeCells count="27">
    <mergeCell ref="A1:M1"/>
    <mergeCell ref="A2:M2"/>
    <mergeCell ref="A3:B3"/>
    <mergeCell ref="D3:H3"/>
    <mergeCell ref="D4:E4"/>
    <mergeCell ref="G4:H4"/>
    <mergeCell ref="D5:E5"/>
    <mergeCell ref="G5:H5"/>
    <mergeCell ref="D15:D17"/>
    <mergeCell ref="G15:G17"/>
    <mergeCell ref="A16:B16"/>
    <mergeCell ref="A17:B17"/>
    <mergeCell ref="A18:B18"/>
    <mergeCell ref="A20:B20"/>
    <mergeCell ref="D20:H20"/>
    <mergeCell ref="D21:E21"/>
    <mergeCell ref="G21:H21"/>
    <mergeCell ref="D22:E22"/>
    <mergeCell ref="G22:H22"/>
    <mergeCell ref="E39:H39"/>
    <mergeCell ref="E40:H40"/>
    <mergeCell ref="D31:D33"/>
    <mergeCell ref="G31:G33"/>
    <mergeCell ref="A32:B32"/>
    <mergeCell ref="A33:B33"/>
    <mergeCell ref="A34:B34"/>
    <mergeCell ref="E38:H3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9.140625" style="88" customWidth="1"/>
    <col min="2" max="2" width="114.421875" style="88" bestFit="1" customWidth="1"/>
    <col min="3" max="3" width="9.421875" style="88" customWidth="1"/>
    <col min="4" max="4" width="8.00390625" style="88" customWidth="1"/>
    <col min="5" max="5" width="28.421875" style="88" bestFit="1" customWidth="1"/>
    <col min="6" max="16384" width="9.140625" style="88" customWidth="1"/>
  </cols>
  <sheetData>
    <row r="1" ht="13.5" thickBot="1"/>
    <row r="2" spans="2:6" ht="12.75">
      <c r="B2" s="271" t="s">
        <v>125</v>
      </c>
      <c r="C2" s="272"/>
      <c r="D2" s="272"/>
      <c r="E2" s="272"/>
      <c r="F2" s="273"/>
    </row>
    <row r="3" spans="2:6" ht="13.5" thickBot="1">
      <c r="B3" s="274"/>
      <c r="C3" s="275"/>
      <c r="D3" s="275"/>
      <c r="E3" s="275"/>
      <c r="F3" s="276"/>
    </row>
    <row r="4" spans="2:6" ht="15.75">
      <c r="B4" s="89"/>
      <c r="C4" s="90"/>
      <c r="D4" s="91"/>
      <c r="E4" s="92"/>
      <c r="F4" s="93"/>
    </row>
    <row r="5" spans="2:6" ht="15">
      <c r="B5" s="94"/>
      <c r="C5" s="95"/>
      <c r="D5" s="95"/>
      <c r="E5" s="96" t="s">
        <v>65</v>
      </c>
      <c r="F5" s="97">
        <v>24</v>
      </c>
    </row>
    <row r="6" spans="2:6" ht="15">
      <c r="B6" s="98"/>
      <c r="C6" s="99"/>
      <c r="D6" s="99"/>
      <c r="E6" s="100" t="s">
        <v>66</v>
      </c>
      <c r="F6" s="101"/>
    </row>
    <row r="7" spans="2:6" ht="15">
      <c r="B7" s="102" t="s">
        <v>67</v>
      </c>
      <c r="C7" s="95"/>
      <c r="D7" s="95"/>
      <c r="E7" s="126" t="s">
        <v>128</v>
      </c>
      <c r="F7" s="127">
        <v>0</v>
      </c>
    </row>
    <row r="8" spans="2:6" ht="15">
      <c r="B8" s="105" t="s">
        <v>68</v>
      </c>
      <c r="C8" s="106">
        <f>(3*4*F5)+F7</f>
        <v>288</v>
      </c>
      <c r="D8" s="107" t="s">
        <v>23</v>
      </c>
      <c r="E8" s="108"/>
      <c r="F8" s="104"/>
    </row>
    <row r="9" spans="2:6" ht="15">
      <c r="B9" s="109"/>
      <c r="C9" s="110"/>
      <c r="D9" s="111"/>
      <c r="E9" s="108"/>
      <c r="F9" s="104"/>
    </row>
    <row r="10" spans="2:6" ht="15">
      <c r="B10" s="112" t="s">
        <v>69</v>
      </c>
      <c r="C10" s="113"/>
      <c r="D10" s="95"/>
      <c r="E10" s="108"/>
      <c r="F10" s="104"/>
    </row>
    <row r="11" spans="2:6" ht="15">
      <c r="B11" s="114" t="s">
        <v>70</v>
      </c>
      <c r="C11" s="106">
        <f>(3*4*F5)+F7</f>
        <v>288</v>
      </c>
      <c r="D11" s="115" t="s">
        <v>23</v>
      </c>
      <c r="E11" s="95"/>
      <c r="F11" s="104"/>
    </row>
    <row r="12" spans="2:6" ht="15">
      <c r="B12" s="114" t="s">
        <v>71</v>
      </c>
      <c r="C12" s="106">
        <f>(3*3*F5)+(F7*0.8)</f>
        <v>216</v>
      </c>
      <c r="D12" s="115" t="s">
        <v>24</v>
      </c>
      <c r="E12" s="95"/>
      <c r="F12" s="104"/>
    </row>
    <row r="13" spans="2:6" ht="15">
      <c r="B13" s="114" t="s">
        <v>72</v>
      </c>
      <c r="C13" s="106">
        <f>C12*0.15</f>
        <v>32.4</v>
      </c>
      <c r="D13" s="115" t="s">
        <v>25</v>
      </c>
      <c r="E13" s="108"/>
      <c r="F13" s="104"/>
    </row>
    <row r="14" spans="2:6" ht="15">
      <c r="B14" s="114" t="s">
        <v>73</v>
      </c>
      <c r="C14" s="116">
        <f>(3*3*1.2*F5)+(F7*0.8*1.2)</f>
        <v>259.2</v>
      </c>
      <c r="D14" s="107" t="s">
        <v>25</v>
      </c>
      <c r="E14" s="108"/>
      <c r="F14" s="104"/>
    </row>
    <row r="15" spans="2:6" ht="15">
      <c r="B15" s="114" t="s">
        <v>74</v>
      </c>
      <c r="C15" s="106">
        <f>(3*3*F5)+(F7*0.8)</f>
        <v>216</v>
      </c>
      <c r="D15" s="115" t="s">
        <v>24</v>
      </c>
      <c r="E15" s="108"/>
      <c r="F15" s="104"/>
    </row>
    <row r="16" spans="2:6" ht="15">
      <c r="B16" s="114" t="s">
        <v>75</v>
      </c>
      <c r="C16" s="106">
        <f>(C14-C13)</f>
        <v>226.8</v>
      </c>
      <c r="D16" s="115" t="s">
        <v>25</v>
      </c>
      <c r="E16" s="108"/>
      <c r="F16" s="104"/>
    </row>
    <row r="17" spans="2:6" ht="15">
      <c r="B17" s="114" t="s">
        <v>76</v>
      </c>
      <c r="C17" s="106">
        <f>(3*3*0.1*F5)+(F7*0.8*0.1)</f>
        <v>21.6</v>
      </c>
      <c r="D17" s="115" t="s">
        <v>25</v>
      </c>
      <c r="E17" s="108"/>
      <c r="F17" s="104"/>
    </row>
    <row r="18" spans="2:6" ht="15">
      <c r="B18" s="114" t="s">
        <v>77</v>
      </c>
      <c r="C18" s="106">
        <f>C12</f>
        <v>216</v>
      </c>
      <c r="D18" s="115" t="s">
        <v>24</v>
      </c>
      <c r="E18" s="108"/>
      <c r="F18" s="104"/>
    </row>
    <row r="19" spans="2:6" ht="15">
      <c r="B19" s="114" t="s">
        <v>78</v>
      </c>
      <c r="C19" s="106">
        <f>C18</f>
        <v>216</v>
      </c>
      <c r="D19" s="115" t="s">
        <v>24</v>
      </c>
      <c r="E19" s="108"/>
      <c r="F19" s="104"/>
    </row>
    <row r="20" spans="2:6" ht="15">
      <c r="B20" s="114" t="s">
        <v>79</v>
      </c>
      <c r="C20" s="106">
        <f>C19*0.05</f>
        <v>10.8</v>
      </c>
      <c r="D20" s="115" t="s">
        <v>25</v>
      </c>
      <c r="E20" s="108"/>
      <c r="F20" s="104"/>
    </row>
    <row r="21" spans="2:6" ht="15">
      <c r="B21" s="114" t="s">
        <v>80</v>
      </c>
      <c r="C21" s="106">
        <f>C19*0.05</f>
        <v>10.8</v>
      </c>
      <c r="D21" s="115" t="s">
        <v>25</v>
      </c>
      <c r="E21" s="103"/>
      <c r="F21" s="104"/>
    </row>
    <row r="22" spans="2:6" ht="15">
      <c r="B22" s="117"/>
      <c r="C22" s="118"/>
      <c r="D22" s="95"/>
      <c r="E22" s="119"/>
      <c r="F22" s="104"/>
    </row>
    <row r="23" spans="2:6" ht="15">
      <c r="B23" s="120" t="s">
        <v>81</v>
      </c>
      <c r="C23" s="118"/>
      <c r="D23" s="95"/>
      <c r="E23" s="108"/>
      <c r="F23" s="104"/>
    </row>
    <row r="24" spans="2:6" ht="15.75" thickBot="1">
      <c r="B24" s="121" t="s">
        <v>82</v>
      </c>
      <c r="C24" s="122">
        <f>C12</f>
        <v>216</v>
      </c>
      <c r="D24" s="123" t="s">
        <v>83</v>
      </c>
      <c r="E24" s="124"/>
      <c r="F24" s="125"/>
    </row>
  </sheetData>
  <sheetProtection/>
  <mergeCells count="1">
    <mergeCell ref="B2:F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Windows</cp:lastModifiedBy>
  <cp:lastPrinted>2022-09-19T18:37:26Z</cp:lastPrinted>
  <dcterms:created xsi:type="dcterms:W3CDTF">1999-02-01T16:53:28Z</dcterms:created>
  <dcterms:modified xsi:type="dcterms:W3CDTF">2022-09-19T18:41:00Z</dcterms:modified>
  <cp:category/>
  <cp:version/>
  <cp:contentType/>
  <cp:contentStatus/>
</cp:coreProperties>
</file>